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Ksiegowowsc\Ks_Zamkniecia\Zycie\KNF_internetowe\2021\"/>
    </mc:Choice>
  </mc:AlternateContent>
  <bookViews>
    <workbookView xWindow="0" yWindow="0" windowWidth="20490" windowHeight="6720" tabRatio="929"/>
  </bookViews>
  <sheets>
    <sheet name="Fundusz Gwarantowany" sheetId="1" r:id="rId1"/>
    <sheet name="Fundusz Stabilnego Wzrostu" sheetId="194" r:id="rId2"/>
    <sheet name="Fundusz Dynamiczny" sheetId="4" r:id="rId3"/>
    <sheet name="Fundusz Obligacji" sheetId="5" r:id="rId4"/>
    <sheet name="Fundusz Aktywnej Alokacji" sheetId="10" r:id="rId5"/>
    <sheet name="Fundusz Akcji Plus" sheetId="11" r:id="rId6"/>
    <sheet name="Fundusz Akcji Małych i ŚS" sheetId="16" r:id="rId7"/>
    <sheet name="Fundusz Pieniężny" sheetId="17" r:id="rId8"/>
    <sheet name="Fundusz Polskich Obl. Skarb." sheetId="81" r:id="rId9"/>
    <sheet name="Fundusz Selektywny" sheetId="78" r:id="rId10"/>
    <sheet name="Fundusz Akcji Glob." sheetId="79" r:id="rId11"/>
    <sheet name="Fundusz Obligacji Glob." sheetId="122" r:id="rId12"/>
    <sheet name="Fundusz Energetyczny" sheetId="121" r:id="rId13"/>
    <sheet name="Portfel Aktywnej Alokacji" sheetId="120" r:id="rId14"/>
    <sheet name="Portfel Dynamiczny" sheetId="69" r:id="rId15"/>
    <sheet name="Portfel Stabilnego Wzrostu" sheetId="67" r:id="rId16"/>
    <sheet name="Portfel ARR" sheetId="53" r:id="rId17"/>
    <sheet name="Portfel ARW" sheetId="94" r:id="rId18"/>
    <sheet name="Portfel OZ" sheetId="93" r:id="rId19"/>
    <sheet name="Portfel OR" sheetId="199" r:id="rId20"/>
    <sheet name="Portfel SA" sheetId="217" r:id="rId21"/>
    <sheet name="Fundusz Konserwatywny" sheetId="95" r:id="rId22"/>
    <sheet name="Fundusz Zrównoważony" sheetId="6" r:id="rId23"/>
    <sheet name="Fundusz Aktywny" sheetId="7" r:id="rId24"/>
    <sheet name="Fundusz Międzynarodowy" sheetId="8" r:id="rId25"/>
    <sheet name="Fundusz Azjatycki" sheetId="9" r:id="rId26"/>
    <sheet name="Aktywny - Surowce i Nowe Gosp." sheetId="13" r:id="rId27"/>
    <sheet name="Zabezpieczony - Dalekiego Wsch." sheetId="58" r:id="rId28"/>
    <sheet name="Zaabezpieczony - Europy Wsch." sheetId="61" r:id="rId29"/>
    <sheet name="Strategii Multiobligacyjnych" sheetId="60" r:id="rId30"/>
    <sheet name="Zabezpieczony - Rynku Polskiego" sheetId="84" r:id="rId31"/>
    <sheet name="Allianz Stabilnego Wzrostu" sheetId="28" r:id="rId32"/>
    <sheet name="Allianz Obligacji Plus" sheetId="22" r:id="rId33"/>
    <sheet name="Allianz Aktywnej Alokacji" sheetId="49" r:id="rId34"/>
    <sheet name="Allianz Akcji Małych i ŚS" sheetId="29" r:id="rId35"/>
    <sheet name="Allianz Konserw." sheetId="30" r:id="rId36"/>
    <sheet name="Allianz Polskich Obl.Skarb." sheetId="48" r:id="rId37"/>
    <sheet name="Allianz Selektywny" sheetId="83" r:id="rId38"/>
    <sheet name="Allianz Akcji Glob." sheetId="42" r:id="rId39"/>
    <sheet name="Allianz ARZ" sheetId="188" r:id="rId40"/>
    <sheet name="Allianz Akcji Rynkow Wsch" sheetId="195" r:id="rId41"/>
    <sheet name="Allianz Dyn.Multistrategia" sheetId="196" r:id="rId42"/>
    <sheet name="Allianz Def.Multistrategia" sheetId="209" r:id="rId43"/>
    <sheet name="Allianz Zbal.Multistrategia" sheetId="210" r:id="rId44"/>
    <sheet name="Allianz GSD" sheetId="197" r:id="rId45"/>
    <sheet name="Aviva Dł.Pap.Korp." sheetId="112" r:id="rId46"/>
    <sheet name="Franklin EDF" sheetId="96" r:id="rId47"/>
    <sheet name="Franklin GFS" sheetId="151" r:id="rId48"/>
    <sheet name="Franklin USO" sheetId="152" r:id="rId49"/>
    <sheet name="GS EMD" sheetId="211" r:id="rId50"/>
    <sheet name="GS GSMBP" sheetId="218" r:id="rId51"/>
    <sheet name="Inwestor Akcji" sheetId="106" r:id="rId52"/>
    <sheet name="Investor Akcji Sp.Dyw." sheetId="123" r:id="rId53"/>
    <sheet name="Investor TOP 25 MS" sheetId="33" r:id="rId54"/>
    <sheet name="Investor Zrównoważony" sheetId="34" r:id="rId55"/>
    <sheet name="Investor Ameryka Quality" sheetId="124" r:id="rId56"/>
    <sheet name="Investor BRIC" sheetId="57" r:id="rId57"/>
    <sheet name="Investor Gold" sheetId="55" r:id="rId58"/>
    <sheet name="Investor Doch" sheetId="43" r:id="rId59"/>
    <sheet name="Investor Indie i Chiny" sheetId="189" r:id="rId60"/>
    <sheet name="Investor AK" sheetId="212" r:id="rId61"/>
    <sheet name="Investor Oszcz." sheetId="202" r:id="rId62"/>
    <sheet name="Investor ZE" sheetId="201" r:id="rId63"/>
    <sheet name="JPM EMO" sheetId="24" r:id="rId64"/>
    <sheet name="JPM GH" sheetId="149" r:id="rId65"/>
    <sheet name="JPM GSB" sheetId="148" r:id="rId66"/>
    <sheet name="JPM GMO" sheetId="224" r:id="rId67"/>
    <sheet name="Esaliens Akcji" sheetId="186" r:id="rId68"/>
    <sheet name="Esaliens Obligacji" sheetId="35" r:id="rId69"/>
    <sheet name="Esaliens Kons" sheetId="153" r:id="rId70"/>
    <sheet name="Esaliens Strateg" sheetId="47" r:id="rId71"/>
    <sheet name="Millenium Master I" sheetId="27" r:id="rId72"/>
    <sheet name="Millenium Master II" sheetId="70" r:id="rId73"/>
    <sheet name="Millenium Master III" sheetId="71" r:id="rId74"/>
    <sheet name="Millenium Master IV" sheetId="72" r:id="rId75"/>
    <sheet name="Millenium Master V" sheetId="73" r:id="rId76"/>
    <sheet name="Millenium Master VI" sheetId="74" r:id="rId77"/>
    <sheet name="Millenium Master VII" sheetId="75" r:id="rId78"/>
    <sheet name="NN Akcji" sheetId="77" r:id="rId79"/>
    <sheet name="NN Obligacji" sheetId="36" r:id="rId80"/>
    <sheet name="NN OI" sheetId="37" r:id="rId81"/>
    <sheet name="NN ŚMS" sheetId="161" r:id="rId82"/>
    <sheet name="NN Eur.SD" sheetId="115" r:id="rId83"/>
    <sheet name="NN Glob. Długu Korp." sheetId="92" r:id="rId84"/>
    <sheet name="NN Glob.SD" sheetId="90" r:id="rId85"/>
    <sheet name="NN J" sheetId="76" r:id="rId86"/>
    <sheet name="NN IS" sheetId="138" r:id="rId87"/>
    <sheet name="NN ORW" sheetId="136" r:id="rId88"/>
    <sheet name="NN Sp.Dyw.USA" sheetId="137" r:id="rId89"/>
    <sheet name="NN SGA" sheetId="163" r:id="rId90"/>
    <sheet name="NN SDRW" sheetId="213" r:id="rId91"/>
    <sheet name="Noble AMiŚS" sheetId="164" r:id="rId92"/>
    <sheet name="Noble AP" sheetId="114" r:id="rId93"/>
    <sheet name="Pekao ARW" sheetId="193" r:id="rId94"/>
    <sheet name="Pekao AGD" sheetId="88" r:id="rId95"/>
    <sheet name="Pekao OS" sheetId="167" r:id="rId96"/>
    <sheet name="Pekao Spokojna Inw" sheetId="129" r:id="rId97"/>
    <sheet name="Pekao WDRE" sheetId="168" r:id="rId98"/>
    <sheet name="Pekao Surowców i Energii" sheetId="169" r:id="rId99"/>
    <sheet name="Pekao AP" sheetId="46" r:id="rId100"/>
    <sheet name="Pekao DS" sheetId="89" r:id="rId101"/>
    <sheet name="Pekao OP" sheetId="128" r:id="rId102"/>
    <sheet name="Pekao Kons." sheetId="85" r:id="rId103"/>
    <sheet name="Pekao Kons.+" sheetId="103" r:id="rId104"/>
    <sheet name="Pekao B15D" sheetId="102" r:id="rId105"/>
    <sheet name="Pekao DA2" sheetId="104" r:id="rId106"/>
    <sheet name="Pekao AS" sheetId="170" r:id="rId107"/>
    <sheet name="Pekao AE" sheetId="165" r:id="rId108"/>
    <sheet name="Pekao SG" sheetId="166" r:id="rId109"/>
    <sheet name="Pekao MIS" sheetId="214" r:id="rId110"/>
    <sheet name="Pekao OID" sheetId="220" r:id="rId111"/>
    <sheet name="PKO Akcji Nowa Europa" sheetId="171" r:id="rId112"/>
    <sheet name="PKO Obligacji Dług." sheetId="38" r:id="rId113"/>
    <sheet name="PKO Stabilnego Wzrostu" sheetId="23" r:id="rId114"/>
    <sheet name="PKO Zrównoważony" sheetId="25" r:id="rId115"/>
    <sheet name="PZU ASD" sheetId="173" r:id="rId116"/>
    <sheet name="PZU AK" sheetId="174" r:id="rId117"/>
    <sheet name="PZU AMiŚS" sheetId="130" r:id="rId118"/>
    <sheet name="PZU M" sheetId="39" r:id="rId119"/>
    <sheet name="PZU Zrówn." sheetId="100" r:id="rId120"/>
    <sheet name="PZU ARR" sheetId="99" r:id="rId121"/>
    <sheet name="PZU PDP" sheetId="205" r:id="rId122"/>
    <sheet name="Quercus A" sheetId="101" r:id="rId123"/>
    <sheet name="Quercus OK" sheetId="143" r:id="rId124"/>
    <sheet name="Quercus GB" sheetId="144" r:id="rId125"/>
    <sheet name="Schroder ISF ACB" sheetId="142" r:id="rId126"/>
    <sheet name="Schroder ISF AO" sheetId="147" r:id="rId127"/>
    <sheet name="Schroder ISF EMDAR" sheetId="179" r:id="rId128"/>
    <sheet name="Schroder ISF EE" sheetId="146" r:id="rId129"/>
    <sheet name="Schroder ISF FME" sheetId="133" r:id="rId130"/>
    <sheet name="Schroder ISF GDG" sheetId="132" r:id="rId131"/>
    <sheet name="Schroder ISF GCHI" sheetId="135" r:id="rId132"/>
    <sheet name="Skarbiec Kons." sheetId="134" r:id="rId133"/>
    <sheet name="Skarbiec OWD" sheetId="113" r:id="rId134"/>
    <sheet name="Skarbiec MIŚS" sheetId="140" r:id="rId135"/>
    <sheet name="Skarbiec NG" sheetId="227" r:id="rId136"/>
    <sheet name="Skarbiec SW" sheetId="175" r:id="rId137"/>
    <sheet name="Skarbiec Brands" sheetId="216" r:id="rId138"/>
    <sheet name="Templeton GB" sheetId="159" r:id="rId139"/>
    <sheet name="Templeton GTR" sheetId="109" r:id="rId140"/>
    <sheet name="Templeton LA" sheetId="108" r:id="rId141"/>
    <sheet name="Generali AD" sheetId="187" r:id="rId142"/>
    <sheet name="Generali AMIŚS" sheetId="177" r:id="rId143"/>
    <sheet name="Generali ANE" sheetId="41" r:id="rId144"/>
    <sheet name="Generali UAWS" sheetId="40" r:id="rId145"/>
    <sheet name="Generali KA" sheetId="64" r:id="rId146"/>
    <sheet name="Generali KO" sheetId="110" r:id="rId147"/>
    <sheet name="Generali D" sheetId="20" r:id="rId148"/>
    <sheet name="Generali KZ" sheetId="62" r:id="rId149"/>
    <sheet name="Generali O" sheetId="26" r:id="rId150"/>
    <sheet name="Generali ONE" sheetId="105" r:id="rId151"/>
    <sheet name="Generali SW" sheetId="63" r:id="rId152"/>
    <sheet name="Generali OA" sheetId="191" r:id="rId153"/>
    <sheet name="Generali Z" sheetId="228" r:id="rId154"/>
    <sheet name="dodatkowedane" sheetId="80" r:id="rId155"/>
  </sheets>
  <definedNames>
    <definedName name="_xlnm.Print_Area" localSheetId="26">'Aktywny - Surowce i Nowe Gosp.'!$B$2:$E$73</definedName>
    <definedName name="_xlnm.Print_Area" localSheetId="32">'Allianz Obligacji Plus'!$B$2:$E$74</definedName>
    <definedName name="_xlnm.Print_Area" localSheetId="45">'Aviva Dł.Pap.Korp.'!$B$2:$E$74</definedName>
    <definedName name="_xlnm.Print_Area" localSheetId="46">'Franklin EDF'!$B$2:$E$74</definedName>
    <definedName name="_xlnm.Print_Area" localSheetId="10">'Fundusz Akcji Glob.'!$B$2:$E$73</definedName>
    <definedName name="_xlnm.Print_Area" localSheetId="6">'Fundusz Akcji Małych i ŚS'!$B$2:$E$73</definedName>
    <definedName name="_xlnm.Print_Area" localSheetId="5">'Fundusz Akcji Plus'!$B$2:$E$73</definedName>
    <definedName name="_xlnm.Print_Area" localSheetId="4">'Fundusz Aktywnej Alokacji'!$B$2:$E$73</definedName>
    <definedName name="_xlnm.Print_Area" localSheetId="23">'Fundusz Aktywny'!$B$2:$E$73</definedName>
    <definedName name="_xlnm.Print_Area" localSheetId="25">'Fundusz Azjatycki'!$B$2:$E$73</definedName>
    <definedName name="_xlnm.Print_Area" localSheetId="2">'Fundusz Dynamiczny'!$B$2:$E$74</definedName>
    <definedName name="_xlnm.Print_Area" localSheetId="12">'Fundusz Energetyczny'!$B$2:$E$73</definedName>
    <definedName name="_xlnm.Print_Area" localSheetId="0">'Fundusz Gwarantowany'!$B$2:$E$77</definedName>
    <definedName name="_xlnm.Print_Area" localSheetId="21">'Fundusz Konserwatywny'!$B$2:$E$74</definedName>
    <definedName name="_xlnm.Print_Area" localSheetId="24">'Fundusz Międzynarodowy'!$B$2:$E$73</definedName>
    <definedName name="_xlnm.Print_Area" localSheetId="3">'Fundusz Obligacji'!$B$2:$E$74</definedName>
    <definedName name="_xlnm.Print_Area" localSheetId="11">'Fundusz Obligacji Glob.'!$B$2:$E$73</definedName>
    <definedName name="_xlnm.Print_Area" localSheetId="7">'Fundusz Pieniężny'!$B$2:$E$73</definedName>
    <definedName name="_xlnm.Print_Area" localSheetId="8">'Fundusz Polskich Obl. Skarb.'!$B$2:$E$73</definedName>
    <definedName name="_xlnm.Print_Area" localSheetId="9">'Fundusz Selektywny'!$B$2:$E$73</definedName>
    <definedName name="_xlnm.Print_Area" localSheetId="22">'Fundusz Zrównoważony'!$B$2:$E$73</definedName>
    <definedName name="_xlnm.Print_Area" localSheetId="146">'Generali KO'!$B$2:$E$74</definedName>
    <definedName name="_xlnm.Print_Area" localSheetId="150">'Generali ONE'!$B$2:$E$74</definedName>
    <definedName name="_xlnm.Print_Area" localSheetId="52">'Investor Akcji Sp.Dyw.'!$B$2:$E$74</definedName>
    <definedName name="_xlnm.Print_Area" localSheetId="55">'Investor Ameryka Quality'!$B$2:$E$74</definedName>
    <definedName name="_xlnm.Print_Area" localSheetId="51">'Inwestor Akcji'!$B$2:$E$74</definedName>
    <definedName name="_xlnm.Print_Area" localSheetId="82">'NN Eur.SD'!$B$2:$E$74</definedName>
    <definedName name="_xlnm.Print_Area" localSheetId="83">'NN Glob. Długu Korp.'!$B$2:$E$74</definedName>
    <definedName name="_xlnm.Print_Area" localSheetId="84">'NN Glob.SD'!$B$2:$E$74</definedName>
    <definedName name="_xlnm.Print_Area" localSheetId="92">'Noble AP'!$B$2:$E$74</definedName>
    <definedName name="_xlnm.Print_Area" localSheetId="94">'Pekao AGD'!$B$2:$E$74</definedName>
    <definedName name="_xlnm.Print_Area" localSheetId="104">'Pekao B15D'!$B$2:$E$74</definedName>
    <definedName name="_xlnm.Print_Area" localSheetId="105">'Pekao DA2'!$B$2:$E$74</definedName>
    <definedName name="_xlnm.Print_Area" localSheetId="100">'Pekao DS'!$B$2:$E$74</definedName>
    <definedName name="_xlnm.Print_Area" localSheetId="102">'Pekao Kons.'!$B$2:$E$74</definedName>
    <definedName name="_xlnm.Print_Area" localSheetId="103">'Pekao Kons.+'!$B$2:$E$74</definedName>
    <definedName name="_xlnm.Print_Area" localSheetId="101">'Pekao OP'!$B$2:$E$74</definedName>
    <definedName name="_xlnm.Print_Area" localSheetId="96">'Pekao Spokojna Inw'!$B$2:$E$74</definedName>
    <definedName name="_xlnm.Print_Area" localSheetId="13">'Portfel Aktywnej Alokacji'!$B$2:$E$73</definedName>
    <definedName name="_xlnm.Print_Area" localSheetId="16">'Portfel ARR'!$B$2:$E$73</definedName>
    <definedName name="_xlnm.Print_Area" localSheetId="17">'Portfel ARW'!$B$2:$E$74</definedName>
    <definedName name="_xlnm.Print_Area" localSheetId="14">'Portfel Dynamiczny'!$B$2:$E$73</definedName>
    <definedName name="_xlnm.Print_Area" localSheetId="18">'Portfel OZ'!$B$2:$E$74</definedName>
    <definedName name="_xlnm.Print_Area" localSheetId="15">'Portfel Stabilnego Wzrostu'!$B$2:$E$73</definedName>
    <definedName name="_xlnm.Print_Area" localSheetId="117">'PZU AMiŚS'!$B$2:$E$74</definedName>
    <definedName name="_xlnm.Print_Area" localSheetId="120">'PZU ARR'!$B$2:$E$74</definedName>
    <definedName name="_xlnm.Print_Area" localSheetId="118">'PZU M'!$B$2:$E$74</definedName>
    <definedName name="_xlnm.Print_Area" localSheetId="119">'PZU Zrówn.'!$B$2:$E$74</definedName>
    <definedName name="_xlnm.Print_Area" localSheetId="122">'Quercus A'!$B$2:$E$74</definedName>
    <definedName name="_xlnm.Print_Area" localSheetId="129">'Schroder ISF FME'!$B$2:$E$74</definedName>
    <definedName name="_xlnm.Print_Area" localSheetId="131">'Schroder ISF GCHI'!$B$2:$E$74</definedName>
    <definedName name="_xlnm.Print_Area" localSheetId="130">'Schroder ISF GDG'!$B$2:$E$74</definedName>
    <definedName name="_xlnm.Print_Area" localSheetId="132">'Skarbiec Kons.'!$B$2:$E$74</definedName>
    <definedName name="_xlnm.Print_Area" localSheetId="133">'Skarbiec OWD'!$B$2:$E$74</definedName>
    <definedName name="_xlnm.Print_Area" localSheetId="139">'Templeton GTR'!$B$2:$E$74</definedName>
    <definedName name="_xlnm.Print_Area" localSheetId="140">'Templeton LA'!$B$2:$E$74</definedName>
    <definedName name="_xlnm.Print_Area" localSheetId="28">'Zaabezpieczony - Europy Wsch.'!$B$2:$E$73</definedName>
    <definedName name="_xlnm.Print_Area" localSheetId="27">'Zabezpieczony - Dalekiego Wsch.'!$B$2:$E$73</definedName>
  </definedNames>
  <calcPr calcId="162913"/>
</workbook>
</file>

<file path=xl/calcChain.xml><?xml version="1.0" encoding="utf-8"?>
<calcChain xmlns="http://schemas.openxmlformats.org/spreadsheetml/2006/main">
  <c r="D58" i="1" l="1"/>
  <c r="D64" i="69" l="1"/>
  <c r="D64" i="84" l="1"/>
  <c r="E14" i="84"/>
  <c r="D71" i="60"/>
  <c r="D64" i="60"/>
  <c r="D64" i="61"/>
  <c r="E14" i="61"/>
  <c r="D71" i="58"/>
  <c r="D64" i="58"/>
  <c r="E14" i="58"/>
  <c r="D64" i="7"/>
  <c r="E12" i="7"/>
  <c r="D64" i="6"/>
  <c r="E12" i="6"/>
  <c r="D64" i="95"/>
  <c r="E12" i="95"/>
  <c r="E12" i="217"/>
  <c r="E17" i="199"/>
  <c r="E14" i="199"/>
  <c r="E12" i="199"/>
  <c r="E14" i="93"/>
  <c r="E12" i="93"/>
  <c r="E12" i="94"/>
  <c r="E14" i="94"/>
  <c r="D64" i="53" l="1"/>
  <c r="E14" i="53"/>
  <c r="E12" i="53"/>
  <c r="D64" i="67"/>
  <c r="E12" i="67"/>
  <c r="E12" i="69"/>
  <c r="D64" i="120"/>
  <c r="E12" i="120"/>
  <c r="E12" i="121" l="1"/>
  <c r="D64" i="122"/>
  <c r="E12" i="122"/>
  <c r="D64" i="79"/>
  <c r="E12" i="79"/>
  <c r="D64" i="78"/>
  <c r="E12" i="78"/>
  <c r="D64" i="81"/>
  <c r="E12" i="81"/>
  <c r="D64" i="17"/>
  <c r="E12" i="17"/>
  <c r="D64" i="16"/>
  <c r="E12" i="16"/>
  <c r="D64" i="11"/>
  <c r="E12" i="11"/>
  <c r="D64" i="10"/>
  <c r="E12" i="10"/>
  <c r="D64" i="5"/>
  <c r="E12" i="5"/>
  <c r="D64" i="4"/>
  <c r="E12" i="4"/>
  <c r="D64" i="13" l="1"/>
  <c r="D71" i="13"/>
  <c r="D64" i="194"/>
  <c r="E12" i="194"/>
  <c r="E12" i="1" l="1"/>
  <c r="D17" i="11" l="1"/>
  <c r="D14" i="11"/>
  <c r="D12" i="11"/>
  <c r="D11" i="11" s="1"/>
  <c r="D17" i="16"/>
  <c r="D14" i="16"/>
  <c r="D11" i="16" s="1"/>
  <c r="D21" i="16" s="1"/>
  <c r="D12" i="16"/>
  <c r="D17" i="17"/>
  <c r="D14" i="17"/>
  <c r="D12" i="17"/>
  <c r="D17" i="81"/>
  <c r="D14" i="81"/>
  <c r="D12" i="81"/>
  <c r="D17" i="78"/>
  <c r="D14" i="78"/>
  <c r="D12" i="78"/>
  <c r="D11" i="78" s="1"/>
  <c r="D21" i="78" s="1"/>
  <c r="D17" i="79"/>
  <c r="D14" i="79"/>
  <c r="D12" i="79"/>
  <c r="D11" i="79"/>
  <c r="D17" i="122"/>
  <c r="D14" i="122"/>
  <c r="D12" i="122"/>
  <c r="D11" i="122" s="1"/>
  <c r="D17" i="121"/>
  <c r="D14" i="121"/>
  <c r="D11" i="121" s="1"/>
  <c r="D21" i="121" s="1"/>
  <c r="D12" i="121"/>
  <c r="D17" i="120"/>
  <c r="D14" i="120"/>
  <c r="D12" i="120"/>
  <c r="D11" i="120" s="1"/>
  <c r="D21" i="120" s="1"/>
  <c r="D17" i="69"/>
  <c r="D14" i="69"/>
  <c r="D12" i="69"/>
  <c r="D11" i="69"/>
  <c r="D21" i="69" s="1"/>
  <c r="D17" i="67"/>
  <c r="D14" i="67"/>
  <c r="D12" i="67"/>
  <c r="D11" i="67" s="1"/>
  <c r="D21" i="67" s="1"/>
  <c r="D17" i="53"/>
  <c r="D12" i="53"/>
  <c r="D11" i="53" s="1"/>
  <c r="D17" i="94"/>
  <c r="D12" i="94"/>
  <c r="D11" i="94" s="1"/>
  <c r="D21" i="94" s="1"/>
  <c r="D17" i="93"/>
  <c r="D12" i="93"/>
  <c r="D11" i="93" s="1"/>
  <c r="D12" i="199"/>
  <c r="D11" i="199"/>
  <c r="D21" i="199" s="1"/>
  <c r="D12" i="217"/>
  <c r="D11" i="217" s="1"/>
  <c r="D21" i="217" s="1"/>
  <c r="D17" i="95"/>
  <c r="D11" i="95"/>
  <c r="D21" i="95" s="1"/>
  <c r="D17" i="6"/>
  <c r="D12" i="6"/>
  <c r="D11" i="6"/>
  <c r="D17" i="7"/>
  <c r="D12" i="7"/>
  <c r="D11" i="7" s="1"/>
  <c r="D17" i="8"/>
  <c r="D11" i="8"/>
  <c r="D17" i="9"/>
  <c r="D11" i="9"/>
  <c r="D21" i="9" s="1"/>
  <c r="D17" i="13"/>
  <c r="D12" i="13"/>
  <c r="D11" i="13" s="1"/>
  <c r="D21" i="13" s="1"/>
  <c r="D17" i="58"/>
  <c r="D12" i="58"/>
  <c r="D11" i="58"/>
  <c r="D21" i="58" s="1"/>
  <c r="E26" i="58" s="1"/>
  <c r="E41" i="58" s="1"/>
  <c r="D17" i="61"/>
  <c r="D12" i="61"/>
  <c r="D11" i="61"/>
  <c r="D21" i="61" s="1"/>
  <c r="D17" i="60"/>
  <c r="D12" i="60"/>
  <c r="D11" i="60"/>
  <c r="D17" i="84"/>
  <c r="D12" i="84"/>
  <c r="D11" i="84" s="1"/>
  <c r="D21" i="84" s="1"/>
  <c r="D17" i="10"/>
  <c r="D12" i="10"/>
  <c r="D11" i="10"/>
  <c r="D21" i="10" s="1"/>
  <c r="D21" i="7" l="1"/>
  <c r="D21" i="8"/>
  <c r="D21" i="60"/>
  <c r="D21" i="122"/>
  <c r="D21" i="11"/>
  <c r="D21" i="79"/>
  <c r="D11" i="81"/>
  <c r="D21" i="81" s="1"/>
  <c r="D21" i="6"/>
  <c r="D21" i="93"/>
  <c r="D21" i="53"/>
  <c r="D11" i="17"/>
  <c r="D21" i="17" s="1"/>
  <c r="D17" i="1"/>
  <c r="D21" i="1" s="1"/>
  <c r="D12" i="1"/>
  <c r="D11" i="1"/>
  <c r="E26" i="152" l="1"/>
  <c r="E26" i="35" l="1"/>
  <c r="E41" i="35" s="1"/>
  <c r="E26" i="151"/>
  <c r="E41" i="151" s="1"/>
  <c r="E26" i="8" l="1"/>
  <c r="E41" i="8"/>
  <c r="E26" i="53"/>
  <c r="E41" i="53" s="1"/>
  <c r="D71" i="61" l="1"/>
  <c r="D64" i="9"/>
  <c r="D64" i="8"/>
  <c r="D71" i="6" l="1"/>
  <c r="D18" i="80" l="1"/>
  <c r="D23" i="80" s="1"/>
  <c r="E11" i="35" l="1"/>
  <c r="E21" i="35" s="1"/>
  <c r="O38" i="1" l="1"/>
  <c r="O37" i="1"/>
  <c r="O39" i="1" s="1"/>
  <c r="D71" i="1" l="1"/>
  <c r="E17" i="194" l="1"/>
  <c r="D73" i="194" s="1"/>
  <c r="E17" i="4"/>
  <c r="D73" i="4" s="1"/>
  <c r="E17" i="5"/>
  <c r="D73" i="5" s="1"/>
  <c r="E17" i="10"/>
  <c r="E17" i="11"/>
  <c r="E17" i="16"/>
  <c r="E17" i="17"/>
  <c r="E17" i="81"/>
  <c r="E17" i="78"/>
  <c r="E17" i="79"/>
  <c r="E17" i="122"/>
  <c r="E17" i="121"/>
  <c r="E17" i="120"/>
  <c r="E17" i="69"/>
  <c r="E17" i="67"/>
  <c r="E17" i="53"/>
  <c r="E17" i="94"/>
  <c r="E17" i="93"/>
  <c r="E17" i="95"/>
  <c r="E17" i="6"/>
  <c r="E17" i="7"/>
  <c r="E17" i="8"/>
  <c r="E17" i="9"/>
  <c r="E17" i="13"/>
  <c r="E17" i="58"/>
  <c r="E17" i="61"/>
  <c r="E17" i="60"/>
  <c r="E17" i="84"/>
  <c r="E17" i="1"/>
  <c r="D73" i="1" s="1"/>
  <c r="E14" i="194"/>
  <c r="E11" i="194" s="1"/>
  <c r="E14" i="4"/>
  <c r="E11" i="4" s="1"/>
  <c r="E14" i="5"/>
  <c r="E11" i="5" s="1"/>
  <c r="E11" i="10"/>
  <c r="E14" i="11"/>
  <c r="E11" i="11" s="1"/>
  <c r="E14" i="16"/>
  <c r="E11" i="16" s="1"/>
  <c r="E14" i="17"/>
  <c r="E11" i="17" s="1"/>
  <c r="E14" i="81"/>
  <c r="E11" i="81" s="1"/>
  <c r="E14" i="78"/>
  <c r="E11" i="78" s="1"/>
  <c r="E14" i="79"/>
  <c r="E11" i="79" s="1"/>
  <c r="E14" i="122"/>
  <c r="E11" i="122" s="1"/>
  <c r="E14" i="121"/>
  <c r="E11" i="121" s="1"/>
  <c r="E14" i="120"/>
  <c r="E14" i="69"/>
  <c r="E11" i="69" s="1"/>
  <c r="E14" i="67"/>
  <c r="E11" i="67" s="1"/>
  <c r="E11" i="61"/>
  <c r="E11" i="120"/>
  <c r="E11" i="53"/>
  <c r="E11" i="94"/>
  <c r="E11" i="93"/>
  <c r="E11" i="199"/>
  <c r="E21" i="199" s="1"/>
  <c r="E11" i="217"/>
  <c r="E21" i="217" s="1"/>
  <c r="E11" i="95"/>
  <c r="E11" i="6"/>
  <c r="E11" i="7"/>
  <c r="E11" i="8"/>
  <c r="E11" i="9"/>
  <c r="E11" i="13"/>
  <c r="E11" i="58"/>
  <c r="E11" i="60"/>
  <c r="E11" i="84"/>
  <c r="E11" i="28"/>
  <c r="E21" i="28" s="1"/>
  <c r="E11" i="22"/>
  <c r="E21" i="22" s="1"/>
  <c r="E11" i="49"/>
  <c r="E21" i="49" s="1"/>
  <c r="E11" i="29"/>
  <c r="E21" i="29" s="1"/>
  <c r="E11" i="30"/>
  <c r="E21" i="30" s="1"/>
  <c r="E11" i="48"/>
  <c r="E21" i="48" s="1"/>
  <c r="E11" i="83"/>
  <c r="E21" i="83" s="1"/>
  <c r="E11" i="42"/>
  <c r="E21" i="42" s="1"/>
  <c r="E11" i="188"/>
  <c r="E21" i="188" s="1"/>
  <c r="E11" i="195"/>
  <c r="E21" i="195" s="1"/>
  <c r="E11" i="196"/>
  <c r="E21" i="196" s="1"/>
  <c r="E11" i="209"/>
  <c r="E21" i="209" s="1"/>
  <c r="E11" i="210"/>
  <c r="E21" i="210" s="1"/>
  <c r="E11" i="197"/>
  <c r="E21" i="197" s="1"/>
  <c r="E11" i="112"/>
  <c r="E21" i="112" s="1"/>
  <c r="E11" i="96"/>
  <c r="E21" i="96" s="1"/>
  <c r="E11" i="151"/>
  <c r="E21" i="151" s="1"/>
  <c r="E11" i="152"/>
  <c r="E21" i="152" s="1"/>
  <c r="E11" i="211"/>
  <c r="E21" i="211" s="1"/>
  <c r="E11" i="218"/>
  <c r="E21" i="218" s="1"/>
  <c r="E11" i="106"/>
  <c r="E21" i="106" s="1"/>
  <c r="E11" i="123"/>
  <c r="E21" i="123" s="1"/>
  <c r="E11" i="33"/>
  <c r="E21" i="33" s="1"/>
  <c r="E11" i="34"/>
  <c r="E21" i="34" s="1"/>
  <c r="E11" i="124"/>
  <c r="E21" i="124" s="1"/>
  <c r="E11" i="57"/>
  <c r="E21" i="57" s="1"/>
  <c r="E11" i="55"/>
  <c r="E21" i="55" s="1"/>
  <c r="E11" i="43"/>
  <c r="E21" i="43" s="1"/>
  <c r="E11" i="189"/>
  <c r="E21" i="189" s="1"/>
  <c r="E11" i="212"/>
  <c r="E21" i="212" s="1"/>
  <c r="E11" i="202"/>
  <c r="E21" i="202" s="1"/>
  <c r="E11" i="201"/>
  <c r="E21" i="201" s="1"/>
  <c r="E11" i="24"/>
  <c r="E21" i="24" s="1"/>
  <c r="E11" i="149"/>
  <c r="E21" i="149" s="1"/>
  <c r="E11" i="148"/>
  <c r="E21" i="148" s="1"/>
  <c r="E11" i="186"/>
  <c r="E21" i="186" s="1"/>
  <c r="E11" i="153"/>
  <c r="E21" i="153" s="1"/>
  <c r="E11" i="47"/>
  <c r="E21" i="47" s="1"/>
  <c r="E11" i="27"/>
  <c r="E21" i="27" s="1"/>
  <c r="E11" i="70"/>
  <c r="E21" i="70" s="1"/>
  <c r="E11" i="71"/>
  <c r="E21" i="71" s="1"/>
  <c r="E11" i="72"/>
  <c r="E21" i="72" s="1"/>
  <c r="E11" i="73"/>
  <c r="E21" i="73" s="1"/>
  <c r="E11" i="74"/>
  <c r="E21" i="74" s="1"/>
  <c r="E11" i="75"/>
  <c r="E21" i="75" s="1"/>
  <c r="E11" i="77"/>
  <c r="E21" i="77" s="1"/>
  <c r="E11" i="36"/>
  <c r="E21" i="36" s="1"/>
  <c r="E11" i="37"/>
  <c r="E21" i="37" s="1"/>
  <c r="E11" i="161"/>
  <c r="E21" i="161" s="1"/>
  <c r="E11" i="115"/>
  <c r="E21" i="115" s="1"/>
  <c r="E11" i="92"/>
  <c r="E21" i="92" s="1"/>
  <c r="E11" i="90"/>
  <c r="E21" i="90" s="1"/>
  <c r="E11" i="76"/>
  <c r="E21" i="76" s="1"/>
  <c r="E11" i="138"/>
  <c r="E21" i="138" s="1"/>
  <c r="E11" i="136"/>
  <c r="E21" i="136" s="1"/>
  <c r="E11" i="137"/>
  <c r="E21" i="137" s="1"/>
  <c r="E11" i="163"/>
  <c r="E21" i="163" s="1"/>
  <c r="E11" i="164"/>
  <c r="E21" i="164" s="1"/>
  <c r="E11" i="193"/>
  <c r="E21" i="193" s="1"/>
  <c r="E11" i="88"/>
  <c r="E21" i="88" s="1"/>
  <c r="E11" i="167"/>
  <c r="E21" i="167" s="1"/>
  <c r="E11" i="129"/>
  <c r="E21" i="129" s="1"/>
  <c r="E11" i="168"/>
  <c r="E21" i="168" s="1"/>
  <c r="E11" i="169"/>
  <c r="E21" i="169" s="1"/>
  <c r="E11" i="46"/>
  <c r="E21" i="46" s="1"/>
  <c r="E11" i="89"/>
  <c r="E21" i="89" s="1"/>
  <c r="E11" i="128"/>
  <c r="E21" i="128" s="1"/>
  <c r="E11" i="85"/>
  <c r="E21" i="85" s="1"/>
  <c r="E11" i="103"/>
  <c r="E21" i="103" s="1"/>
  <c r="E11" i="102"/>
  <c r="E21" i="102" s="1"/>
  <c r="E11" i="104"/>
  <c r="E21" i="104" s="1"/>
  <c r="E11" i="170"/>
  <c r="E21" i="170" s="1"/>
  <c r="E11" i="166"/>
  <c r="E21" i="166" s="1"/>
  <c r="E11" i="214"/>
  <c r="E21" i="214" s="1"/>
  <c r="E11" i="220"/>
  <c r="E21" i="220" s="1"/>
  <c r="E11" i="171"/>
  <c r="E21" i="171" s="1"/>
  <c r="E11" i="38"/>
  <c r="E21" i="38" s="1"/>
  <c r="E11" i="23"/>
  <c r="E21" i="23" s="1"/>
  <c r="E11" i="25"/>
  <c r="E21" i="25" s="1"/>
  <c r="E11" i="173"/>
  <c r="E21" i="173" s="1"/>
  <c r="E11" i="174"/>
  <c r="E21" i="174" s="1"/>
  <c r="E11" i="130"/>
  <c r="E21" i="130" s="1"/>
  <c r="E11" i="39"/>
  <c r="E21" i="39" s="1"/>
  <c r="E21" i="100"/>
  <c r="E11" i="99"/>
  <c r="E21" i="99" s="1"/>
  <c r="E11" i="205"/>
  <c r="E21" i="205" s="1"/>
  <c r="E11" i="101"/>
  <c r="E21" i="101" s="1"/>
  <c r="E11" i="144"/>
  <c r="E21" i="144" s="1"/>
  <c r="E11" i="147"/>
  <c r="E21" i="147" s="1"/>
  <c r="E11" i="179"/>
  <c r="E21" i="179" s="1"/>
  <c r="E11" i="146"/>
  <c r="E21" i="146" s="1"/>
  <c r="E11" i="133"/>
  <c r="E21" i="133" s="1"/>
  <c r="E11" i="132"/>
  <c r="E21" i="132" s="1"/>
  <c r="E11" i="135"/>
  <c r="E21" i="135" s="1"/>
  <c r="E11" i="113"/>
  <c r="E21" i="113" s="1"/>
  <c r="E11" i="140"/>
  <c r="E21" i="140" s="1"/>
  <c r="E11" i="227"/>
  <c r="E21" i="227" s="1"/>
  <c r="E11" i="175"/>
  <c r="E21" i="175" s="1"/>
  <c r="E11" i="216"/>
  <c r="E21" i="216" s="1"/>
  <c r="E11" i="159"/>
  <c r="E21" i="159" s="1"/>
  <c r="E11" i="109"/>
  <c r="E21" i="109" s="1"/>
  <c r="E11" i="108"/>
  <c r="E21" i="108" s="1"/>
  <c r="E11" i="187"/>
  <c r="E21" i="187" s="1"/>
  <c r="E11" i="177"/>
  <c r="E21" i="177" s="1"/>
  <c r="E11" i="41"/>
  <c r="E21" i="41" s="1"/>
  <c r="E11" i="40"/>
  <c r="E21" i="40" s="1"/>
  <c r="E11" i="64"/>
  <c r="E21" i="64" s="1"/>
  <c r="E11" i="110"/>
  <c r="E21" i="110" s="1"/>
  <c r="E11" i="20"/>
  <c r="E21" i="20" s="1"/>
  <c r="E11" i="62"/>
  <c r="E21" i="62" s="1"/>
  <c r="E11" i="26"/>
  <c r="E21" i="26" s="1"/>
  <c r="E11" i="105"/>
  <c r="E21" i="105" s="1"/>
  <c r="E11" i="63"/>
  <c r="E21" i="63" s="1"/>
  <c r="E11" i="191"/>
  <c r="E21" i="191" s="1"/>
  <c r="E11" i="228"/>
  <c r="E21" i="228" s="1"/>
  <c r="E21" i="16" l="1"/>
  <c r="E21" i="7"/>
  <c r="E21" i="69"/>
  <c r="E21" i="120"/>
  <c r="E21" i="79"/>
  <c r="E21" i="11"/>
  <c r="E21" i="61"/>
  <c r="E71" i="61" s="1"/>
  <c r="E21" i="58"/>
  <c r="E71" i="58" s="1"/>
  <c r="E21" i="8"/>
  <c r="E21" i="84"/>
  <c r="E21" i="9"/>
  <c r="E21" i="6"/>
  <c r="E21" i="95"/>
  <c r="E21" i="67"/>
  <c r="E21" i="121"/>
  <c r="E77" i="121" s="1"/>
  <c r="E21" i="122"/>
  <c r="E21" i="17"/>
  <c r="E21" i="4"/>
  <c r="E21" i="60"/>
  <c r="E71" i="60" s="1"/>
  <c r="E21" i="13"/>
  <c r="E71" i="13" s="1"/>
  <c r="E21" i="94"/>
  <c r="E21" i="53"/>
  <c r="E21" i="10"/>
  <c r="E21" i="194"/>
  <c r="E21" i="81"/>
  <c r="E21" i="93"/>
  <c r="E21" i="78"/>
  <c r="E21" i="5"/>
  <c r="E62" i="121" l="1"/>
  <c r="E76" i="121"/>
  <c r="E69" i="121"/>
  <c r="E26" i="194" l="1"/>
  <c r="E41" i="194" s="1"/>
  <c r="E26" i="4"/>
  <c r="E41" i="4" s="1"/>
  <c r="E26" i="5"/>
  <c r="E41" i="5" s="1"/>
  <c r="E26" i="10"/>
  <c r="E41" i="10" s="1"/>
  <c r="E26" i="11"/>
  <c r="E41" i="11" s="1"/>
  <c r="E26" i="16"/>
  <c r="E41" i="16" s="1"/>
  <c r="E26" i="17"/>
  <c r="E41" i="17" s="1"/>
  <c r="E26" i="81"/>
  <c r="E41" i="81" s="1"/>
  <c r="E26" i="78"/>
  <c r="E41" i="78" s="1"/>
  <c r="E26" i="79"/>
  <c r="E41" i="79" s="1"/>
  <c r="E26" i="122"/>
  <c r="E41" i="122" s="1"/>
  <c r="E26" i="121"/>
  <c r="E41" i="121" s="1"/>
  <c r="E26" i="120"/>
  <c r="E41" i="120" s="1"/>
  <c r="E26" i="69"/>
  <c r="E41" i="69" s="1"/>
  <c r="E26" i="67"/>
  <c r="E41" i="67" s="1"/>
  <c r="E26" i="94"/>
  <c r="E41" i="94" s="1"/>
  <c r="E26" i="93"/>
  <c r="E41" i="93" s="1"/>
  <c r="E26" i="199"/>
  <c r="E41" i="199" s="1"/>
  <c r="E26" i="217"/>
  <c r="E41" i="217" s="1"/>
  <c r="E26" i="95"/>
  <c r="E41" i="95" s="1"/>
  <c r="E26" i="6"/>
  <c r="E41" i="6" s="1"/>
  <c r="E26" i="7"/>
  <c r="E41" i="7" s="1"/>
  <c r="E26" i="9"/>
  <c r="E41" i="9" s="1"/>
  <c r="E26" i="13"/>
  <c r="E41" i="13" s="1"/>
  <c r="E26" i="61"/>
  <c r="E41" i="61" s="1"/>
  <c r="E26" i="60"/>
  <c r="E41" i="60" s="1"/>
  <c r="E26" i="84"/>
  <c r="E41" i="84" s="1"/>
  <c r="E26" i="28"/>
  <c r="E41" i="28" s="1"/>
  <c r="E26" i="22"/>
  <c r="E41" i="22" s="1"/>
  <c r="E26" i="49"/>
  <c r="E41" i="49" s="1"/>
  <c r="E26" i="29"/>
  <c r="E41" i="29" s="1"/>
  <c r="E26" i="30"/>
  <c r="E41" i="30" s="1"/>
  <c r="E26" i="48"/>
  <c r="E41" i="48" s="1"/>
  <c r="E26" i="83"/>
  <c r="E41" i="83" s="1"/>
  <c r="E26" i="42"/>
  <c r="E41" i="42" s="1"/>
  <c r="E26" i="188"/>
  <c r="E41" i="188" s="1"/>
  <c r="E26" i="195"/>
  <c r="E41" i="195" s="1"/>
  <c r="E26" i="196"/>
  <c r="E41" i="196" s="1"/>
  <c r="E26" i="209"/>
  <c r="E41" i="209" s="1"/>
  <c r="E26" i="210"/>
  <c r="E41" i="210" s="1"/>
  <c r="E26" i="197"/>
  <c r="E41" i="197" s="1"/>
  <c r="E26" i="112"/>
  <c r="E41" i="112" s="1"/>
  <c r="E26" i="96"/>
  <c r="E41" i="96" s="1"/>
  <c r="E41" i="152"/>
  <c r="E26" i="211"/>
  <c r="E41" i="211" s="1"/>
  <c r="E26" i="218"/>
  <c r="E41" i="218" s="1"/>
  <c r="E26" i="106"/>
  <c r="E41" i="106" s="1"/>
  <c r="E26" i="123"/>
  <c r="E41" i="123" s="1"/>
  <c r="E26" i="33"/>
  <c r="E41" i="33" s="1"/>
  <c r="E26" i="34"/>
  <c r="E41" i="34" s="1"/>
  <c r="E26" i="124"/>
  <c r="E41" i="124" s="1"/>
  <c r="E26" i="57"/>
  <c r="E41" i="57" s="1"/>
  <c r="E26" i="55"/>
  <c r="E41" i="55" s="1"/>
  <c r="E26" i="43"/>
  <c r="E41" i="43" s="1"/>
  <c r="E26" i="189"/>
  <c r="E41" i="189" s="1"/>
  <c r="E26" i="212"/>
  <c r="E41" i="212" s="1"/>
  <c r="E26" i="202"/>
  <c r="E41" i="202" s="1"/>
  <c r="E26" i="201"/>
  <c r="E41" i="201" s="1"/>
  <c r="E26" i="24"/>
  <c r="E41" i="24" s="1"/>
  <c r="E26" i="149"/>
  <c r="E41" i="149" s="1"/>
  <c r="E26" i="148"/>
  <c r="E41" i="148" s="1"/>
  <c r="E26" i="224"/>
  <c r="E41" i="224" s="1"/>
  <c r="E26" i="186"/>
  <c r="E41" i="186" s="1"/>
  <c r="E26" i="153"/>
  <c r="E41" i="153" s="1"/>
  <c r="E26" i="47"/>
  <c r="E41" i="47" s="1"/>
  <c r="E26" i="27"/>
  <c r="E41" i="27" s="1"/>
  <c r="E26" i="70"/>
  <c r="E26" i="71"/>
  <c r="E41" i="71" s="1"/>
  <c r="E26" i="72"/>
  <c r="E41" i="72" s="1"/>
  <c r="E26" i="73"/>
  <c r="E41" i="73" s="1"/>
  <c r="E26" i="74"/>
  <c r="E41" i="74" s="1"/>
  <c r="E26" i="75"/>
  <c r="E41" i="75" s="1"/>
  <c r="E26" i="77"/>
  <c r="E41" i="77" s="1"/>
  <c r="E26" i="36"/>
  <c r="E41" i="36" s="1"/>
  <c r="E26" i="37"/>
  <c r="E41" i="37" s="1"/>
  <c r="E26" i="161"/>
  <c r="E41" i="161" s="1"/>
  <c r="E26" i="115"/>
  <c r="E41" i="115" s="1"/>
  <c r="E26" i="92"/>
  <c r="E41" i="92" s="1"/>
  <c r="E26" i="90"/>
  <c r="E41" i="90" s="1"/>
  <c r="E26" i="76"/>
  <c r="E41" i="76" s="1"/>
  <c r="E26" i="138"/>
  <c r="E41" i="138" s="1"/>
  <c r="E26" i="136"/>
  <c r="E41" i="136" s="1"/>
  <c r="E26" i="137"/>
  <c r="E41" i="137" s="1"/>
  <c r="E26" i="163"/>
  <c r="E41" i="163" s="1"/>
  <c r="E26" i="213"/>
  <c r="E41" i="213" s="1"/>
  <c r="E26" i="164"/>
  <c r="E41" i="164" s="1"/>
  <c r="E26" i="114"/>
  <c r="E26" i="193"/>
  <c r="E41" i="193" s="1"/>
  <c r="E26" i="88"/>
  <c r="E41" i="88" s="1"/>
  <c r="E26" i="167"/>
  <c r="E41" i="167" s="1"/>
  <c r="E26" i="129"/>
  <c r="E41" i="129" s="1"/>
  <c r="E26" i="168"/>
  <c r="E41" i="168" s="1"/>
  <c r="E26" i="169"/>
  <c r="E41" i="169" s="1"/>
  <c r="E26" i="46"/>
  <c r="E41" i="46" s="1"/>
  <c r="E26" i="89"/>
  <c r="E41" i="89" s="1"/>
  <c r="E26" i="128"/>
  <c r="E41" i="128" s="1"/>
  <c r="E26" i="85"/>
  <c r="E41" i="85" s="1"/>
  <c r="E26" i="103"/>
  <c r="E41" i="103" s="1"/>
  <c r="E26" i="102"/>
  <c r="E41" i="102" s="1"/>
  <c r="E26" i="104"/>
  <c r="E41" i="104" s="1"/>
  <c r="E26" i="170"/>
  <c r="E41" i="170" s="1"/>
  <c r="E26" i="165"/>
  <c r="E26" i="166"/>
  <c r="E41" i="166" s="1"/>
  <c r="E26" i="214"/>
  <c r="E41" i="214" s="1"/>
  <c r="E26" i="220"/>
  <c r="E41" i="220" s="1"/>
  <c r="E26" i="171"/>
  <c r="E41" i="171" s="1"/>
  <c r="E26" i="38"/>
  <c r="E41" i="38" s="1"/>
  <c r="E26" i="23"/>
  <c r="E41" i="23" s="1"/>
  <c r="E26" i="25"/>
  <c r="E41" i="25" s="1"/>
  <c r="E26" i="173"/>
  <c r="E41" i="173" s="1"/>
  <c r="E26" i="174"/>
  <c r="E41" i="174" s="1"/>
  <c r="E26" i="130"/>
  <c r="E41" i="130" s="1"/>
  <c r="E26" i="39"/>
  <c r="E41" i="39" s="1"/>
  <c r="E26" i="100"/>
  <c r="E26" i="99"/>
  <c r="E41" i="99" s="1"/>
  <c r="E26" i="205"/>
  <c r="E41" i="205" s="1"/>
  <c r="E26" i="101"/>
  <c r="E41" i="101" s="1"/>
  <c r="E26" i="143"/>
  <c r="E26" i="144"/>
  <c r="E41" i="144" s="1"/>
  <c r="E26" i="142"/>
  <c r="E26" i="147"/>
  <c r="E41" i="147" s="1"/>
  <c r="E26" i="179"/>
  <c r="E41" i="179" s="1"/>
  <c r="E26" i="146"/>
  <c r="E41" i="146" s="1"/>
  <c r="E26" i="133"/>
  <c r="E41" i="133" s="1"/>
  <c r="E26" i="132"/>
  <c r="E41" i="132" s="1"/>
  <c r="E26" i="135"/>
  <c r="E41" i="135" s="1"/>
  <c r="E26" i="134"/>
  <c r="E41" i="134" s="1"/>
  <c r="E26" i="113"/>
  <c r="E41" i="113" s="1"/>
  <c r="E26" i="140"/>
  <c r="E41" i="140" s="1"/>
  <c r="E26" i="227"/>
  <c r="E41" i="227" s="1"/>
  <c r="E26" i="175"/>
  <c r="E41" i="175" s="1"/>
  <c r="E26" i="216"/>
  <c r="E41" i="216" s="1"/>
  <c r="E26" i="159"/>
  <c r="E41" i="159" s="1"/>
  <c r="E26" i="109"/>
  <c r="E41" i="109" s="1"/>
  <c r="E26" i="108"/>
  <c r="E41" i="108" s="1"/>
  <c r="E26" i="187"/>
  <c r="E41" i="187" s="1"/>
  <c r="E26" i="177"/>
  <c r="E41" i="177" s="1"/>
  <c r="E26" i="41"/>
  <c r="E41" i="41" s="1"/>
  <c r="E26" i="40"/>
  <c r="E41" i="40" s="1"/>
  <c r="E26" i="64"/>
  <c r="E41" i="64" s="1"/>
  <c r="E26" i="110"/>
  <c r="E41" i="110" s="1"/>
  <c r="E26" i="20"/>
  <c r="E41" i="20" s="1"/>
  <c r="E26" i="62"/>
  <c r="E41" i="62" s="1"/>
  <c r="E26" i="26"/>
  <c r="E41" i="26" s="1"/>
  <c r="E26" i="105"/>
  <c r="E41" i="105" s="1"/>
  <c r="E26" i="63"/>
  <c r="E41" i="63" s="1"/>
  <c r="E26" i="191"/>
  <c r="E41" i="191" s="1"/>
  <c r="E26" i="228"/>
  <c r="E41" i="228" s="1"/>
  <c r="E26" i="1"/>
  <c r="E41" i="1" s="1"/>
  <c r="E18" i="80" l="1"/>
  <c r="E23" i="80" s="1"/>
  <c r="E74" i="228" l="1"/>
  <c r="E75" i="228" s="1"/>
  <c r="D72" i="228"/>
  <c r="E64" i="228"/>
  <c r="D64" i="228"/>
  <c r="D58" i="228" s="1"/>
  <c r="D74" i="228" s="1"/>
  <c r="D75" i="228" s="1"/>
  <c r="D72" i="227"/>
  <c r="D64" i="227" l="1"/>
  <c r="D58" i="227" s="1"/>
  <c r="D74" i="227" l="1"/>
  <c r="D75" i="227" s="1"/>
  <c r="E58" i="227"/>
  <c r="E64" i="227" l="1"/>
  <c r="E74" i="227"/>
  <c r="E75" i="227" s="1"/>
  <c r="D72" i="224" l="1"/>
  <c r="D64" i="224" l="1"/>
  <c r="D58" i="224" s="1"/>
  <c r="D74" i="224" s="1"/>
  <c r="D76" i="224" s="1"/>
  <c r="E58" i="224" l="1"/>
  <c r="E64" i="224" s="1"/>
  <c r="E74" i="224" l="1"/>
  <c r="E76" i="224" s="1"/>
  <c r="D71" i="84" l="1"/>
  <c r="D72" i="220" l="1"/>
  <c r="D72" i="218"/>
  <c r="D64" i="218" l="1"/>
  <c r="D58" i="218" s="1"/>
  <c r="D74" i="218" s="1"/>
  <c r="D76" i="218" s="1"/>
  <c r="D64" i="220"/>
  <c r="D58" i="220" s="1"/>
  <c r="E58" i="218" l="1"/>
  <c r="E74" i="218" s="1"/>
  <c r="E76" i="218" s="1"/>
  <c r="D74" i="220"/>
  <c r="D75" i="220" s="1"/>
  <c r="E58" i="220"/>
  <c r="E64" i="218" l="1"/>
  <c r="E74" i="220"/>
  <c r="E75" i="220" s="1"/>
  <c r="E64" i="220"/>
  <c r="D71" i="8" l="1"/>
  <c r="D73" i="10" l="1"/>
  <c r="D73" i="11"/>
  <c r="D73" i="17"/>
  <c r="D73" i="69"/>
  <c r="D73" i="7"/>
  <c r="D64" i="48"/>
  <c r="D73" i="48"/>
  <c r="D64" i="196"/>
  <c r="D58" i="196" s="1"/>
  <c r="D73" i="196"/>
  <c r="D64" i="70"/>
  <c r="D58" i="70" s="1"/>
  <c r="D73" i="70"/>
  <c r="D64" i="71"/>
  <c r="D58" i="71" s="1"/>
  <c r="D73" i="71"/>
  <c r="D64" i="72"/>
  <c r="D58" i="72" s="1"/>
  <c r="D74" i="72" s="1"/>
  <c r="D76" i="72" s="1"/>
  <c r="D73" i="72"/>
  <c r="D64" i="73"/>
  <c r="D58" i="73" s="1"/>
  <c r="D73" i="73"/>
  <c r="D64" i="74"/>
  <c r="D58" i="74" s="1"/>
  <c r="E58" i="74" s="1"/>
  <c r="E64" i="74" s="1"/>
  <c r="D73" i="74"/>
  <c r="D64" i="55"/>
  <c r="D58" i="55" s="1"/>
  <c r="D73" i="55"/>
  <c r="D64" i="37"/>
  <c r="D58" i="37" s="1"/>
  <c r="D73" i="37"/>
  <c r="D64" i="90"/>
  <c r="D58" i="90" s="1"/>
  <c r="D73" i="90"/>
  <c r="D64" i="153"/>
  <c r="D58" i="153" s="1"/>
  <c r="D73" i="153"/>
  <c r="D64" i="23"/>
  <c r="D58" i="23" s="1"/>
  <c r="D73" i="23"/>
  <c r="D64" i="143"/>
  <c r="D58" i="143" s="1"/>
  <c r="D73" i="143"/>
  <c r="D64" i="134"/>
  <c r="D58" i="134" s="1"/>
  <c r="D73" i="134"/>
  <c r="D64" i="177"/>
  <c r="D58" i="177" s="1"/>
  <c r="E58" i="177" s="1"/>
  <c r="E64" i="177" s="1"/>
  <c r="D73" i="177"/>
  <c r="D64" i="110"/>
  <c r="D58" i="110" s="1"/>
  <c r="D73" i="110"/>
  <c r="D64" i="20"/>
  <c r="D73" i="20"/>
  <c r="D73" i="217"/>
  <c r="D72" i="217"/>
  <c r="D71" i="217"/>
  <c r="D71" i="4"/>
  <c r="D71" i="5"/>
  <c r="D71" i="10"/>
  <c r="D71" i="11"/>
  <c r="D71" i="16"/>
  <c r="D71" i="17"/>
  <c r="D71" i="81"/>
  <c r="D71" i="78"/>
  <c r="D71" i="79"/>
  <c r="D71" i="122"/>
  <c r="D71" i="121"/>
  <c r="E71" i="121" s="1"/>
  <c r="D71" i="120"/>
  <c r="D71" i="69"/>
  <c r="D71" i="67"/>
  <c r="E71" i="67" s="1"/>
  <c r="D71" i="53"/>
  <c r="D71" i="94"/>
  <c r="D71" i="93"/>
  <c r="E71" i="93" s="1"/>
  <c r="D71" i="199"/>
  <c r="D71" i="194"/>
  <c r="D72" i="216"/>
  <c r="D72" i="214"/>
  <c r="D72" i="213"/>
  <c r="D72" i="212"/>
  <c r="D72" i="211"/>
  <c r="D72" i="210"/>
  <c r="D72" i="209"/>
  <c r="D72" i="205"/>
  <c r="D72" i="201"/>
  <c r="D72" i="202"/>
  <c r="D58" i="20"/>
  <c r="E58" i="20" s="1"/>
  <c r="E64" i="20" s="1"/>
  <c r="D58" i="84"/>
  <c r="D73" i="84"/>
  <c r="D58" i="60"/>
  <c r="D73" i="60"/>
  <c r="D58" i="61"/>
  <c r="D73" i="61"/>
  <c r="D58" i="58"/>
  <c r="D73" i="58"/>
  <c r="D58" i="13"/>
  <c r="D73" i="13"/>
  <c r="D73" i="9"/>
  <c r="D58" i="8"/>
  <c r="D73" i="8"/>
  <c r="D58" i="6"/>
  <c r="D73" i="6"/>
  <c r="D71" i="95"/>
  <c r="D58" i="95"/>
  <c r="D72" i="199"/>
  <c r="E72" i="199" s="1"/>
  <c r="D58" i="199"/>
  <c r="D74" i="199" s="1"/>
  <c r="D73" i="199"/>
  <c r="D72" i="197"/>
  <c r="D72" i="196"/>
  <c r="D72" i="195"/>
  <c r="D73" i="95"/>
  <c r="D58" i="93"/>
  <c r="D58" i="94"/>
  <c r="D73" i="94"/>
  <c r="D58" i="53"/>
  <c r="D73" i="53"/>
  <c r="E73" i="53" s="1"/>
  <c r="D58" i="67"/>
  <c r="D73" i="67"/>
  <c r="D58" i="69"/>
  <c r="D58" i="120"/>
  <c r="D73" i="120"/>
  <c r="D58" i="10"/>
  <c r="D58" i="11"/>
  <c r="D58" i="16"/>
  <c r="D58" i="17"/>
  <c r="D58" i="81"/>
  <c r="D58" i="78"/>
  <c r="D74" i="78" s="1"/>
  <c r="D58" i="79"/>
  <c r="D58" i="122"/>
  <c r="D58" i="121"/>
  <c r="D58" i="5"/>
  <c r="D73" i="16"/>
  <c r="D73" i="81"/>
  <c r="D73" i="78"/>
  <c r="D73" i="79"/>
  <c r="D73" i="122"/>
  <c r="D73" i="121"/>
  <c r="D72" i="10"/>
  <c r="D72" i="11"/>
  <c r="D72" i="16"/>
  <c r="D72" i="78"/>
  <c r="D72" i="79"/>
  <c r="D72" i="122"/>
  <c r="D72" i="121"/>
  <c r="D72" i="5"/>
  <c r="D58" i="4"/>
  <c r="D58" i="194"/>
  <c r="D58" i="48"/>
  <c r="D64" i="30"/>
  <c r="D58" i="30" s="1"/>
  <c r="D72" i="191"/>
  <c r="D72" i="63"/>
  <c r="D72" i="105"/>
  <c r="D72" i="26"/>
  <c r="D72" i="62"/>
  <c r="D72" i="20"/>
  <c r="D72" i="110"/>
  <c r="D72" i="64"/>
  <c r="D72" i="40"/>
  <c r="D72" i="41"/>
  <c r="D72" i="177"/>
  <c r="D72" i="187"/>
  <c r="D72" i="108"/>
  <c r="D72" i="109"/>
  <c r="D72" i="159"/>
  <c r="D72" i="175"/>
  <c r="D72" i="140"/>
  <c r="D72" i="113"/>
  <c r="D72" i="134"/>
  <c r="D72" i="135"/>
  <c r="D72" i="132"/>
  <c r="D72" i="133"/>
  <c r="D72" i="146"/>
  <c r="D72" i="179"/>
  <c r="D72" i="147"/>
  <c r="D72" i="142"/>
  <c r="D72" i="144"/>
  <c r="D72" i="143"/>
  <c r="D72" i="101"/>
  <c r="D72" i="99"/>
  <c r="D72" i="100"/>
  <c r="D72" i="39"/>
  <c r="D72" i="130"/>
  <c r="D72" i="174"/>
  <c r="D72" i="173"/>
  <c r="D72" i="25"/>
  <c r="D72" i="23"/>
  <c r="D72" i="38"/>
  <c r="D72" i="171"/>
  <c r="D72" i="166"/>
  <c r="D72" i="165"/>
  <c r="D72" i="170"/>
  <c r="D72" i="104"/>
  <c r="D72" i="102"/>
  <c r="D72" i="103"/>
  <c r="D72" i="85"/>
  <c r="D72" i="128"/>
  <c r="D72" i="89"/>
  <c r="D72" i="46"/>
  <c r="D72" i="169"/>
  <c r="D72" i="168"/>
  <c r="D72" i="129"/>
  <c r="D72" i="167"/>
  <c r="D72" i="88"/>
  <c r="D72" i="193"/>
  <c r="D72" i="114"/>
  <c r="D72" i="164"/>
  <c r="D72" i="163"/>
  <c r="D72" i="137"/>
  <c r="D72" i="136"/>
  <c r="D72" i="138"/>
  <c r="D72" i="76"/>
  <c r="D72" i="90"/>
  <c r="D72" i="92"/>
  <c r="D72" i="115"/>
  <c r="D72" i="161"/>
  <c r="D72" i="37"/>
  <c r="D72" i="36"/>
  <c r="D72" i="77"/>
  <c r="D72" i="75"/>
  <c r="D72" i="74"/>
  <c r="D72" i="73"/>
  <c r="D72" i="72"/>
  <c r="D72" i="71"/>
  <c r="D72" i="27"/>
  <c r="D72" i="47"/>
  <c r="D72" i="153"/>
  <c r="D72" i="35"/>
  <c r="D72" i="186"/>
  <c r="D72" i="148"/>
  <c r="D72" i="149"/>
  <c r="D72" i="24"/>
  <c r="D72" i="189"/>
  <c r="D72" i="43"/>
  <c r="D72" i="55"/>
  <c r="D72" i="57"/>
  <c r="D72" i="124"/>
  <c r="D72" i="34"/>
  <c r="D72" i="33"/>
  <c r="D72" i="123"/>
  <c r="D72" i="106"/>
  <c r="D72" i="152"/>
  <c r="D72" i="151"/>
  <c r="D72" i="96"/>
  <c r="D72" i="112"/>
  <c r="D72" i="188"/>
  <c r="D72" i="42"/>
  <c r="D72" i="83"/>
  <c r="D72" i="48"/>
  <c r="D72" i="30"/>
  <c r="D72" i="29"/>
  <c r="D72" i="49"/>
  <c r="D72" i="22"/>
  <c r="D72" i="28"/>
  <c r="D72" i="84"/>
  <c r="D72" i="60"/>
  <c r="D72" i="61"/>
  <c r="D72" i="58"/>
  <c r="D72" i="13"/>
  <c r="D72" i="9"/>
  <c r="D72" i="7"/>
  <c r="D72" i="6"/>
  <c r="D72" i="95"/>
  <c r="D72" i="93"/>
  <c r="D72" i="53"/>
  <c r="E72" i="53" s="1"/>
  <c r="D72" i="120"/>
  <c r="D72" i="4"/>
  <c r="E72" i="4" s="1"/>
  <c r="D72" i="194"/>
  <c r="E69" i="53"/>
  <c r="E64" i="53"/>
  <c r="D74" i="58" l="1"/>
  <c r="D74" i="60"/>
  <c r="D74" i="95"/>
  <c r="D75" i="95" s="1"/>
  <c r="D74" i="13"/>
  <c r="D74" i="61"/>
  <c r="D75" i="61"/>
  <c r="D74" i="6"/>
  <c r="D75" i="6" s="1"/>
  <c r="D75" i="58"/>
  <c r="D74" i="196"/>
  <c r="D75" i="196" s="1"/>
  <c r="E58" i="196"/>
  <c r="E64" i="196" s="1"/>
  <c r="D74" i="120"/>
  <c r="D75" i="120" s="1"/>
  <c r="D74" i="4"/>
  <c r="D75" i="4" s="1"/>
  <c r="D74" i="70"/>
  <c r="D76" i="70" s="1"/>
  <c r="D74" i="194"/>
  <c r="D75" i="194" s="1"/>
  <c r="E58" i="37"/>
  <c r="E64" i="37" s="1"/>
  <c r="E58" i="110"/>
  <c r="E64" i="110" s="1"/>
  <c r="E58" i="153"/>
  <c r="E64" i="153" s="1"/>
  <c r="D75" i="60"/>
  <c r="E72" i="93"/>
  <c r="D72" i="69"/>
  <c r="D74" i="69" s="1"/>
  <c r="D75" i="69" s="1"/>
  <c r="E73" i="6"/>
  <c r="D72" i="94"/>
  <c r="D74" i="94" s="1"/>
  <c r="D75" i="94" s="1"/>
  <c r="D58" i="9"/>
  <c r="D74" i="9" s="1"/>
  <c r="D75" i="9" s="1"/>
  <c r="D72" i="8"/>
  <c r="D74" i="8" s="1"/>
  <c r="D75" i="8" s="1"/>
  <c r="E76" i="93"/>
  <c r="E76" i="53"/>
  <c r="D74" i="53"/>
  <c r="D72" i="67"/>
  <c r="D74" i="67" s="1"/>
  <c r="D75" i="67" s="1"/>
  <c r="E58" i="6"/>
  <c r="E64" i="6"/>
  <c r="D64" i="191"/>
  <c r="D58" i="191" s="1"/>
  <c r="E58" i="191" s="1"/>
  <c r="D64" i="63"/>
  <c r="D58" i="63" s="1"/>
  <c r="D74" i="63" s="1"/>
  <c r="D75" i="63" s="1"/>
  <c r="D64" i="105"/>
  <c r="D58" i="105" s="1"/>
  <c r="E58" i="105" s="1"/>
  <c r="E64" i="105" s="1"/>
  <c r="D64" i="26"/>
  <c r="D58" i="26" s="1"/>
  <c r="D64" i="62"/>
  <c r="D58" i="62" s="1"/>
  <c r="D64" i="40"/>
  <c r="D58" i="40" s="1"/>
  <c r="D64" i="187"/>
  <c r="D58" i="187" s="1"/>
  <c r="D64" i="108"/>
  <c r="D58" i="108" s="1"/>
  <c r="E58" i="108" s="1"/>
  <c r="D64" i="216"/>
  <c r="D58" i="216" s="1"/>
  <c r="E58" i="216" s="1"/>
  <c r="D64" i="175"/>
  <c r="D58" i="175" s="1"/>
  <c r="E58" i="175" s="1"/>
  <c r="D64" i="140"/>
  <c r="D58" i="140" s="1"/>
  <c r="D64" i="113"/>
  <c r="D58" i="113" s="1"/>
  <c r="D64" i="146"/>
  <c r="D58" i="146" s="1"/>
  <c r="E58" i="146" s="1"/>
  <c r="D64" i="144"/>
  <c r="D58" i="144" s="1"/>
  <c r="D64" i="205"/>
  <c r="D58" i="205" s="1"/>
  <c r="D64" i="99"/>
  <c r="D58" i="99" s="1"/>
  <c r="D74" i="99" s="1"/>
  <c r="D75" i="99" s="1"/>
  <c r="D64" i="100"/>
  <c r="D58" i="100" s="1"/>
  <c r="D64" i="39"/>
  <c r="D58" i="39" s="1"/>
  <c r="D64" i="130"/>
  <c r="D58" i="130" s="1"/>
  <c r="D64" i="174"/>
  <c r="D58" i="174" s="1"/>
  <c r="D74" i="174" s="1"/>
  <c r="D75" i="174" s="1"/>
  <c r="D64" i="25"/>
  <c r="D58" i="25" s="1"/>
  <c r="E58" i="25" s="1"/>
  <c r="E64" i="25" s="1"/>
  <c r="D64" i="38"/>
  <c r="D58" i="38" s="1"/>
  <c r="D64" i="171"/>
  <c r="D58" i="171" s="1"/>
  <c r="E58" i="171" s="1"/>
  <c r="E64" i="171" s="1"/>
  <c r="D64" i="214"/>
  <c r="D58" i="214" s="1"/>
  <c r="E58" i="214" s="1"/>
  <c r="D64" i="166"/>
  <c r="D58" i="166" s="1"/>
  <c r="D64" i="165"/>
  <c r="D58" i="165" s="1"/>
  <c r="D74" i="165" s="1"/>
  <c r="D75" i="165" s="1"/>
  <c r="D64" i="170"/>
  <c r="D58" i="170" s="1"/>
  <c r="E58" i="170" s="1"/>
  <c r="E64" i="170" s="1"/>
  <c r="D64" i="102"/>
  <c r="D58" i="102" s="1"/>
  <c r="D74" i="102" s="1"/>
  <c r="D75" i="102" s="1"/>
  <c r="D64" i="103"/>
  <c r="D58" i="103" s="1"/>
  <c r="D64" i="89"/>
  <c r="D58" i="89" s="1"/>
  <c r="D74" i="89" s="1"/>
  <c r="D75" i="89" s="1"/>
  <c r="D64" i="168"/>
  <c r="D58" i="168" s="1"/>
  <c r="D64" i="88"/>
  <c r="D58" i="88" s="1"/>
  <c r="D74" i="88" s="1"/>
  <c r="D75" i="88" s="1"/>
  <c r="D64" i="114"/>
  <c r="D58" i="114" s="1"/>
  <c r="D74" i="114" s="1"/>
  <c r="D75" i="114" s="1"/>
  <c r="D64" i="164"/>
  <c r="D58" i="164" s="1"/>
  <c r="E58" i="164" s="1"/>
  <c r="D64" i="92"/>
  <c r="D58" i="92" s="1"/>
  <c r="D64" i="163"/>
  <c r="D58" i="163" s="1"/>
  <c r="E58" i="163" s="1"/>
  <c r="E64" i="163" s="1"/>
  <c r="D64" i="137"/>
  <c r="D58" i="137" s="1"/>
  <c r="D64" i="136"/>
  <c r="D58" i="136" s="1"/>
  <c r="D74" i="136" s="1"/>
  <c r="D75" i="136" s="1"/>
  <c r="D64" i="138"/>
  <c r="D58" i="138" s="1"/>
  <c r="D74" i="90"/>
  <c r="D75" i="90" s="1"/>
  <c r="E58" i="90"/>
  <c r="E64" i="90" s="1"/>
  <c r="D64" i="115"/>
  <c r="D58" i="115" s="1"/>
  <c r="D64" i="161"/>
  <c r="D58" i="161" s="1"/>
  <c r="D64" i="36"/>
  <c r="D58" i="36" s="1"/>
  <c r="E58" i="36" s="1"/>
  <c r="D64" i="77"/>
  <c r="D58" i="77" s="1"/>
  <c r="E58" i="77" s="1"/>
  <c r="D64" i="75"/>
  <c r="D58" i="75" s="1"/>
  <c r="D74" i="75" s="1"/>
  <c r="D76" i="75" s="1"/>
  <c r="D74" i="71"/>
  <c r="D76" i="71" s="1"/>
  <c r="D64" i="149"/>
  <c r="D58" i="149" s="1"/>
  <c r="D64" i="24"/>
  <c r="D58" i="24" s="1"/>
  <c r="D74" i="24" s="1"/>
  <c r="D76" i="24" s="1"/>
  <c r="D64" i="201"/>
  <c r="D58" i="201" s="1"/>
  <c r="D74" i="201" s="1"/>
  <c r="D75" i="201" s="1"/>
  <c r="D64" i="212"/>
  <c r="D58" i="212" s="1"/>
  <c r="D74" i="212" s="1"/>
  <c r="D75" i="212" s="1"/>
  <c r="D64" i="189"/>
  <c r="D58" i="189" s="1"/>
  <c r="E58" i="189" s="1"/>
  <c r="D64" i="43"/>
  <c r="D58" i="43" s="1"/>
  <c r="D64" i="124"/>
  <c r="D58" i="124" s="1"/>
  <c r="D64" i="34"/>
  <c r="D58" i="34" s="1"/>
  <c r="D64" i="123"/>
  <c r="D58" i="123" s="1"/>
  <c r="D64" i="106"/>
  <c r="D58" i="106" s="1"/>
  <c r="D64" i="211"/>
  <c r="D58" i="211" s="1"/>
  <c r="E58" i="211" s="1"/>
  <c r="D64" i="151"/>
  <c r="D58" i="151" s="1"/>
  <c r="D64" i="96"/>
  <c r="D58" i="96" s="1"/>
  <c r="D64" i="112"/>
  <c r="D58" i="112" s="1"/>
  <c r="E58" i="112" s="1"/>
  <c r="D64" i="28"/>
  <c r="D58" i="28" s="1"/>
  <c r="E58" i="28" s="1"/>
  <c r="D72" i="81"/>
  <c r="D74" i="81" s="1"/>
  <c r="D75" i="81" s="1"/>
  <c r="D72" i="17"/>
  <c r="E72" i="17" s="1"/>
  <c r="E71" i="95"/>
  <c r="E64" i="95"/>
  <c r="E58" i="95"/>
  <c r="E73" i="95"/>
  <c r="D74" i="122"/>
  <c r="D75" i="122" s="1"/>
  <c r="E58" i="63"/>
  <c r="D75" i="199"/>
  <c r="D74" i="84"/>
  <c r="D75" i="84" s="1"/>
  <c r="D74" i="23"/>
  <c r="E73" i="23"/>
  <c r="D64" i="41"/>
  <c r="D58" i="41" s="1"/>
  <c r="D64" i="101"/>
  <c r="D58" i="101" s="1"/>
  <c r="D64" i="173"/>
  <c r="D58" i="173" s="1"/>
  <c r="D64" i="104"/>
  <c r="D58" i="104" s="1"/>
  <c r="D64" i="213"/>
  <c r="D58" i="213" s="1"/>
  <c r="D74" i="213" s="1"/>
  <c r="D75" i="213" s="1"/>
  <c r="D64" i="76"/>
  <c r="D58" i="76" s="1"/>
  <c r="E58" i="76" s="1"/>
  <c r="D74" i="73"/>
  <c r="D76" i="73" s="1"/>
  <c r="E58" i="73"/>
  <c r="E64" i="73" s="1"/>
  <c r="D64" i="27"/>
  <c r="D58" i="27" s="1"/>
  <c r="D74" i="27" s="1"/>
  <c r="D76" i="27" s="1"/>
  <c r="D64" i="202"/>
  <c r="D58" i="202" s="1"/>
  <c r="E58" i="202" s="1"/>
  <c r="D64" i="57"/>
  <c r="D58" i="57" s="1"/>
  <c r="D64" i="33"/>
  <c r="D58" i="33" s="1"/>
  <c r="E58" i="53"/>
  <c r="E74" i="53" s="1"/>
  <c r="E64" i="4"/>
  <c r="D75" i="13"/>
  <c r="D72" i="1"/>
  <c r="D74" i="1" s="1"/>
  <c r="E58" i="199"/>
  <c r="E64" i="199"/>
  <c r="E73" i="199"/>
  <c r="E69" i="199"/>
  <c r="D74" i="20"/>
  <c r="D75" i="20" s="1"/>
  <c r="D74" i="110"/>
  <c r="D75" i="110" s="1"/>
  <c r="D64" i="64"/>
  <c r="D58" i="64" s="1"/>
  <c r="E58" i="64" s="1"/>
  <c r="D75" i="177"/>
  <c r="D74" i="177" s="1"/>
  <c r="D64" i="109"/>
  <c r="D58" i="109" s="1"/>
  <c r="D64" i="159"/>
  <c r="D58" i="159" s="1"/>
  <c r="D74" i="134"/>
  <c r="D75" i="134" s="1"/>
  <c r="D64" i="135"/>
  <c r="D58" i="135" s="1"/>
  <c r="D64" i="132"/>
  <c r="D58" i="132" s="1"/>
  <c r="D64" i="133"/>
  <c r="D58" i="133" s="1"/>
  <c r="D64" i="179"/>
  <c r="D58" i="179" s="1"/>
  <c r="D64" i="147"/>
  <c r="D58" i="147" s="1"/>
  <c r="D74" i="147" s="1"/>
  <c r="D76" i="147" s="1"/>
  <c r="D64" i="142"/>
  <c r="D58" i="142" s="1"/>
  <c r="D74" i="143"/>
  <c r="D75" i="143" s="1"/>
  <c r="D64" i="85"/>
  <c r="D58" i="85" s="1"/>
  <c r="D64" i="128"/>
  <c r="D64" i="46"/>
  <c r="D58" i="46" s="1"/>
  <c r="E58" i="46" s="1"/>
  <c r="D64" i="169"/>
  <c r="D58" i="169" s="1"/>
  <c r="E58" i="169" s="1"/>
  <c r="D64" i="129"/>
  <c r="D58" i="129" s="1"/>
  <c r="D74" i="129" s="1"/>
  <c r="D75" i="129" s="1"/>
  <c r="D64" i="167"/>
  <c r="D58" i="167" s="1"/>
  <c r="D74" i="167" s="1"/>
  <c r="D75" i="167" s="1"/>
  <c r="D64" i="193"/>
  <c r="D58" i="193" s="1"/>
  <c r="E58" i="193" s="1"/>
  <c r="E74" i="193" s="1"/>
  <c r="E75" i="193" s="1"/>
  <c r="D74" i="37"/>
  <c r="D75" i="37" s="1"/>
  <c r="D74" i="74"/>
  <c r="D76" i="74" s="1"/>
  <c r="D64" i="47"/>
  <c r="D58" i="47" s="1"/>
  <c r="D74" i="153"/>
  <c r="D75" i="153" s="1"/>
  <c r="D64" i="35"/>
  <c r="D58" i="35" s="1"/>
  <c r="D64" i="186"/>
  <c r="D58" i="186" s="1"/>
  <c r="D64" i="148"/>
  <c r="D58" i="148" s="1"/>
  <c r="D64" i="152"/>
  <c r="D58" i="152" s="1"/>
  <c r="D64" i="197"/>
  <c r="D58" i="197" s="1"/>
  <c r="D64" i="210"/>
  <c r="D58" i="210" s="1"/>
  <c r="E58" i="210" s="1"/>
  <c r="D64" i="209"/>
  <c r="D58" i="209" s="1"/>
  <c r="E58" i="209" s="1"/>
  <c r="D64" i="195"/>
  <c r="D58" i="195" s="1"/>
  <c r="E58" i="195" s="1"/>
  <c r="D64" i="188"/>
  <c r="D58" i="188" s="1"/>
  <c r="E58" i="188" s="1"/>
  <c r="D64" i="42"/>
  <c r="D58" i="42" s="1"/>
  <c r="E58" i="42" s="1"/>
  <c r="D64" i="83"/>
  <c r="D58" i="83" s="1"/>
  <c r="D74" i="83" s="1"/>
  <c r="D75" i="83" s="1"/>
  <c r="D74" i="48"/>
  <c r="D75" i="48" s="1"/>
  <c r="D64" i="29"/>
  <c r="D58" i="29" s="1"/>
  <c r="E58" i="29" s="1"/>
  <c r="D64" i="49"/>
  <c r="D58" i="49" s="1"/>
  <c r="E58" i="49" s="1"/>
  <c r="D64" i="22"/>
  <c r="D58" i="22" s="1"/>
  <c r="D74" i="22" s="1"/>
  <c r="D75" i="22" s="1"/>
  <c r="D74" i="146"/>
  <c r="D76" i="146" s="1"/>
  <c r="E64" i="143"/>
  <c r="D74" i="36"/>
  <c r="D75" i="36" s="1"/>
  <c r="D74" i="55"/>
  <c r="D75" i="55" s="1"/>
  <c r="E58" i="55"/>
  <c r="E64" i="55" s="1"/>
  <c r="D74" i="112"/>
  <c r="D75" i="112" s="1"/>
  <c r="E64" i="93"/>
  <c r="E69" i="93"/>
  <c r="D73" i="93"/>
  <c r="D74" i="93" s="1"/>
  <c r="D75" i="93" s="1"/>
  <c r="E75" i="93" s="1"/>
  <c r="E73" i="67"/>
  <c r="E69" i="67"/>
  <c r="E58" i="67"/>
  <c r="D74" i="121"/>
  <c r="D75" i="121" s="1"/>
  <c r="E75" i="121" s="1"/>
  <c r="D75" i="78"/>
  <c r="E64" i="81"/>
  <c r="E69" i="81"/>
  <c r="E58" i="81"/>
  <c r="E64" i="17"/>
  <c r="E58" i="17"/>
  <c r="E69" i="17"/>
  <c r="E73" i="17"/>
  <c r="D74" i="11"/>
  <c r="D75" i="11" s="1"/>
  <c r="D74" i="10"/>
  <c r="D75" i="10" s="1"/>
  <c r="D74" i="5"/>
  <c r="D75" i="5" s="1"/>
  <c r="E64" i="5"/>
  <c r="E58" i="5"/>
  <c r="E73" i="5"/>
  <c r="E72" i="5"/>
  <c r="E69" i="5"/>
  <c r="E58" i="4"/>
  <c r="E73" i="4"/>
  <c r="E69" i="4"/>
  <c r="E74" i="25"/>
  <c r="E75" i="25" s="1"/>
  <c r="D74" i="28"/>
  <c r="D75" i="28" s="1"/>
  <c r="E64" i="194"/>
  <c r="E58" i="194"/>
  <c r="E73" i="194"/>
  <c r="E69" i="194"/>
  <c r="E73" i="120"/>
  <c r="E72" i="120"/>
  <c r="E69" i="120"/>
  <c r="E64" i="120"/>
  <c r="E58" i="120"/>
  <c r="E73" i="69"/>
  <c r="E58" i="69"/>
  <c r="E64" i="69"/>
  <c r="E71" i="69"/>
  <c r="E69" i="69"/>
  <c r="D74" i="30"/>
  <c r="D75" i="30" s="1"/>
  <c r="E58" i="30"/>
  <c r="D74" i="16"/>
  <c r="D75" i="16" s="1"/>
  <c r="E58" i="99"/>
  <c r="E73" i="81"/>
  <c r="E64" i="67"/>
  <c r="E58" i="93"/>
  <c r="D74" i="25"/>
  <c r="D75" i="25" s="1"/>
  <c r="E73" i="177"/>
  <c r="E74" i="177" s="1"/>
  <c r="E75" i="177" s="1"/>
  <c r="E73" i="37"/>
  <c r="E58" i="103"/>
  <c r="D74" i="103"/>
  <c r="D75" i="103" s="1"/>
  <c r="E73" i="217"/>
  <c r="E69" i="217"/>
  <c r="E64" i="217"/>
  <c r="E72" i="194"/>
  <c r="E58" i="75"/>
  <c r="D74" i="163"/>
  <c r="D75" i="163" s="1"/>
  <c r="D74" i="170"/>
  <c r="D75" i="170" s="1"/>
  <c r="D74" i="100"/>
  <c r="D75" i="100" s="1"/>
  <c r="E74" i="134"/>
  <c r="E75" i="134" s="1"/>
  <c r="E73" i="153"/>
  <c r="E74" i="153" s="1"/>
  <c r="E75" i="153" s="1"/>
  <c r="E73" i="73"/>
  <c r="E76" i="70"/>
  <c r="E58" i="205"/>
  <c r="D74" i="205"/>
  <c r="D75" i="205" s="1"/>
  <c r="D74" i="216"/>
  <c r="D75" i="216" s="1"/>
  <c r="E73" i="20"/>
  <c r="E74" i="20" s="1"/>
  <c r="E75" i="20" s="1"/>
  <c r="E73" i="55"/>
  <c r="E58" i="26"/>
  <c r="D74" i="26"/>
  <c r="D75" i="26" s="1"/>
  <c r="D74" i="164"/>
  <c r="D75" i="164" s="1"/>
  <c r="E58" i="161"/>
  <c r="D74" i="161"/>
  <c r="D75" i="161" s="1"/>
  <c r="E73" i="110"/>
  <c r="E73" i="90"/>
  <c r="E73" i="74"/>
  <c r="E74" i="74" s="1"/>
  <c r="E76" i="74" s="1"/>
  <c r="E73" i="196"/>
  <c r="E74" i="196" s="1"/>
  <c r="E75" i="196" s="1"/>
  <c r="D74" i="79"/>
  <c r="D75" i="79" s="1"/>
  <c r="E74" i="4" l="1"/>
  <c r="E72" i="81"/>
  <c r="E58" i="174"/>
  <c r="E72" i="67"/>
  <c r="E58" i="129"/>
  <c r="E74" i="6"/>
  <c r="E75" i="6" s="1"/>
  <c r="E72" i="69"/>
  <c r="E58" i="88"/>
  <c r="E76" i="72"/>
  <c r="D75" i="53"/>
  <c r="E75" i="53" s="1"/>
  <c r="E74" i="110"/>
  <c r="E75" i="110" s="1"/>
  <c r="E76" i="71"/>
  <c r="E74" i="171"/>
  <c r="E75" i="171" s="1"/>
  <c r="D74" i="189"/>
  <c r="D75" i="189" s="1"/>
  <c r="D74" i="209"/>
  <c r="D75" i="209" s="1"/>
  <c r="E58" i="201"/>
  <c r="E64" i="201" s="1"/>
  <c r="E74" i="37"/>
  <c r="E75" i="37" s="1"/>
  <c r="D74" i="42"/>
  <c r="D75" i="42" s="1"/>
  <c r="D74" i="191"/>
  <c r="D75" i="191" s="1"/>
  <c r="D74" i="108"/>
  <c r="D76" i="108" s="1"/>
  <c r="E64" i="193"/>
  <c r="D74" i="49"/>
  <c r="D75" i="49" s="1"/>
  <c r="E58" i="212"/>
  <c r="E64" i="212" s="1"/>
  <c r="D74" i="195"/>
  <c r="D75" i="195" s="1"/>
  <c r="D74" i="105"/>
  <c r="D75" i="105" s="1"/>
  <c r="E74" i="90"/>
  <c r="E75" i="90" s="1"/>
  <c r="D74" i="211"/>
  <c r="D76" i="211" s="1"/>
  <c r="E58" i="136"/>
  <c r="E64" i="136" s="1"/>
  <c r="E58" i="89"/>
  <c r="D74" i="202"/>
  <c r="D75" i="202" s="1"/>
  <c r="E58" i="24"/>
  <c r="E64" i="24" s="1"/>
  <c r="D74" i="171"/>
  <c r="D75" i="171" s="1"/>
  <c r="D74" i="64"/>
  <c r="D75" i="64" s="1"/>
  <c r="D74" i="175"/>
  <c r="D75" i="175" s="1"/>
  <c r="D74" i="214"/>
  <c r="D75" i="214" s="1"/>
  <c r="E58" i="167"/>
  <c r="D74" i="77"/>
  <c r="D75" i="77" s="1"/>
  <c r="E72" i="9"/>
  <c r="E72" i="7"/>
  <c r="D58" i="128"/>
  <c r="E58" i="128" s="1"/>
  <c r="E74" i="105"/>
  <c r="E75" i="105" s="1"/>
  <c r="E74" i="170"/>
  <c r="E75" i="170" s="1"/>
  <c r="E58" i="22"/>
  <c r="E72" i="78"/>
  <c r="E64" i="78"/>
  <c r="E58" i="102"/>
  <c r="E74" i="102" s="1"/>
  <c r="E75" i="102" s="1"/>
  <c r="D74" i="46"/>
  <c r="D75" i="46" s="1"/>
  <c r="E74" i="163"/>
  <c r="E75" i="163" s="1"/>
  <c r="E74" i="73"/>
  <c r="E76" i="73" s="1"/>
  <c r="E64" i="9"/>
  <c r="E73" i="9"/>
  <c r="E73" i="7"/>
  <c r="E74" i="95"/>
  <c r="E75" i="95" s="1"/>
  <c r="E75" i="94"/>
  <c r="E76" i="94"/>
  <c r="E72" i="121"/>
  <c r="E58" i="79"/>
  <c r="D74" i="17"/>
  <c r="D75" i="17" s="1"/>
  <c r="E58" i="78"/>
  <c r="E69" i="78"/>
  <c r="E73" i="78"/>
  <c r="E73" i="16"/>
  <c r="D58" i="217"/>
  <c r="E71" i="84"/>
  <c r="E73" i="60"/>
  <c r="E69" i="60"/>
  <c r="E64" i="61"/>
  <c r="E69" i="58"/>
  <c r="E69" i="13"/>
  <c r="E73" i="13"/>
  <c r="D74" i="62"/>
  <c r="D75" i="62" s="1"/>
  <c r="E58" i="62"/>
  <c r="D74" i="40"/>
  <c r="D75" i="40" s="1"/>
  <c r="E58" i="40"/>
  <c r="E58" i="187"/>
  <c r="D74" i="187"/>
  <c r="D75" i="187" s="1"/>
  <c r="E64" i="175"/>
  <c r="E74" i="175"/>
  <c r="E75" i="175" s="1"/>
  <c r="D74" i="140"/>
  <c r="D75" i="140" s="1"/>
  <c r="E58" i="140"/>
  <c r="D74" i="113"/>
  <c r="D75" i="113" s="1"/>
  <c r="E58" i="113"/>
  <c r="E58" i="144"/>
  <c r="D74" i="144"/>
  <c r="D75" i="144" s="1"/>
  <c r="E75" i="100"/>
  <c r="D74" i="39"/>
  <c r="D75" i="39" s="1"/>
  <c r="E58" i="39"/>
  <c r="D74" i="130"/>
  <c r="D75" i="130" s="1"/>
  <c r="E58" i="130"/>
  <c r="E58" i="23"/>
  <c r="E64" i="23" s="1"/>
  <c r="E58" i="38"/>
  <c r="D74" i="38"/>
  <c r="D75" i="38" s="1"/>
  <c r="D74" i="166"/>
  <c r="D75" i="166" s="1"/>
  <c r="E58" i="166"/>
  <c r="E58" i="168"/>
  <c r="D74" i="168"/>
  <c r="D75" i="168" s="1"/>
  <c r="D74" i="193"/>
  <c r="D75" i="193" s="1"/>
  <c r="D74" i="92"/>
  <c r="D75" i="92" s="1"/>
  <c r="E58" i="92"/>
  <c r="D74" i="137"/>
  <c r="D75" i="137" s="1"/>
  <c r="E58" i="137"/>
  <c r="E58" i="138"/>
  <c r="D74" i="138"/>
  <c r="D75" i="138" s="1"/>
  <c r="D74" i="76"/>
  <c r="D75" i="76" s="1"/>
  <c r="E58" i="115"/>
  <c r="D74" i="115"/>
  <c r="D75" i="115" s="1"/>
  <c r="E64" i="77"/>
  <c r="E74" i="77"/>
  <c r="E75" i="77" s="1"/>
  <c r="E58" i="149"/>
  <c r="D74" i="149"/>
  <c r="D76" i="149" s="1"/>
  <c r="E58" i="43"/>
  <c r="D74" i="43"/>
  <c r="D75" i="43" s="1"/>
  <c r="D74" i="124"/>
  <c r="D75" i="124" s="1"/>
  <c r="E58" i="124"/>
  <c r="E58" i="34"/>
  <c r="D74" i="34"/>
  <c r="D75" i="34" s="1"/>
  <c r="E58" i="123"/>
  <c r="D74" i="123"/>
  <c r="D75" i="123" s="1"/>
  <c r="D74" i="106"/>
  <c r="D75" i="106" s="1"/>
  <c r="E58" i="106"/>
  <c r="E58" i="151"/>
  <c r="D74" i="151"/>
  <c r="D76" i="151" s="1"/>
  <c r="E58" i="96"/>
  <c r="D74" i="96"/>
  <c r="D76" i="96" s="1"/>
  <c r="E72" i="84"/>
  <c r="E64" i="84"/>
  <c r="E58" i="60"/>
  <c r="E73" i="61"/>
  <c r="E58" i="61"/>
  <c r="E74" i="61" s="1"/>
  <c r="E58" i="58"/>
  <c r="E58" i="13"/>
  <c r="E64" i="13"/>
  <c r="E73" i="94"/>
  <c r="E64" i="79"/>
  <c r="E73" i="79"/>
  <c r="E69" i="79"/>
  <c r="E72" i="79"/>
  <c r="E64" i="58"/>
  <c r="E71" i="94"/>
  <c r="E58" i="27"/>
  <c r="E74" i="27" s="1"/>
  <c r="E76" i="27" s="1"/>
  <c r="E74" i="199"/>
  <c r="E75" i="199" s="1"/>
  <c r="D75" i="1"/>
  <c r="E58" i="94"/>
  <c r="D74" i="29"/>
  <c r="D75" i="29" s="1"/>
  <c r="E74" i="55"/>
  <c r="E75" i="55" s="1"/>
  <c r="D74" i="210"/>
  <c r="D75" i="210" s="1"/>
  <c r="E69" i="94"/>
  <c r="E74" i="143"/>
  <c r="E75" i="143" s="1"/>
  <c r="E58" i="147"/>
  <c r="E64" i="147" s="1"/>
  <c r="D74" i="169"/>
  <c r="D75" i="169" s="1"/>
  <c r="E69" i="61"/>
  <c r="E64" i="60"/>
  <c r="E64" i="94"/>
  <c r="E72" i="61"/>
  <c r="E64" i="63"/>
  <c r="E74" i="63"/>
  <c r="E75" i="63" s="1"/>
  <c r="E72" i="94"/>
  <c r="D75" i="23"/>
  <c r="D74" i="41"/>
  <c r="D75" i="41" s="1"/>
  <c r="E58" i="41"/>
  <c r="E58" i="101"/>
  <c r="D74" i="101"/>
  <c r="D75" i="101" s="1"/>
  <c r="E58" i="173"/>
  <c r="D74" i="173"/>
  <c r="D75" i="173" s="1"/>
  <c r="E58" i="104"/>
  <c r="D74" i="104"/>
  <c r="D75" i="104" s="1"/>
  <c r="D74" i="57"/>
  <c r="D75" i="57" s="1"/>
  <c r="E58" i="57"/>
  <c r="D74" i="33"/>
  <c r="D75" i="33" s="1"/>
  <c r="E58" i="33"/>
  <c r="E73" i="48"/>
  <c r="E73" i="122"/>
  <c r="E69" i="122"/>
  <c r="E58" i="122"/>
  <c r="E72" i="122"/>
  <c r="E64" i="122"/>
  <c r="E74" i="17"/>
  <c r="E75" i="17" s="1"/>
  <c r="E69" i="16"/>
  <c r="E72" i="16"/>
  <c r="E64" i="16"/>
  <c r="E58" i="16"/>
  <c r="E58" i="11"/>
  <c r="E69" i="10"/>
  <c r="E74" i="5"/>
  <c r="E75" i="5" s="1"/>
  <c r="E75" i="4"/>
  <c r="E72" i="13"/>
  <c r="E58" i="109"/>
  <c r="D74" i="109"/>
  <c r="D76" i="109" s="1"/>
  <c r="D74" i="159"/>
  <c r="D76" i="159" s="1"/>
  <c r="E58" i="159"/>
  <c r="D74" i="135"/>
  <c r="D76" i="135" s="1"/>
  <c r="E58" i="135"/>
  <c r="D74" i="132"/>
  <c r="D76" i="132" s="1"/>
  <c r="E58" i="132"/>
  <c r="D74" i="133"/>
  <c r="D76" i="133" s="1"/>
  <c r="E58" i="133"/>
  <c r="D74" i="179"/>
  <c r="D76" i="179" s="1"/>
  <c r="E58" i="179"/>
  <c r="D74" i="142"/>
  <c r="D76" i="142" s="1"/>
  <c r="E58" i="85"/>
  <c r="D74" i="85"/>
  <c r="D75" i="85" s="1"/>
  <c r="E64" i="169"/>
  <c r="E74" i="169"/>
  <c r="E75" i="169" s="1"/>
  <c r="E58" i="47"/>
  <c r="D74" i="47"/>
  <c r="D75" i="47" s="1"/>
  <c r="E58" i="35"/>
  <c r="D74" i="35"/>
  <c r="D75" i="35" s="1"/>
  <c r="E58" i="186"/>
  <c r="D74" i="186"/>
  <c r="D75" i="186" s="1"/>
  <c r="E58" i="148"/>
  <c r="D74" i="148"/>
  <c r="D76" i="148" s="1"/>
  <c r="E58" i="152"/>
  <c r="D74" i="152"/>
  <c r="D76" i="152" s="1"/>
  <c r="D74" i="197"/>
  <c r="D75" i="197" s="1"/>
  <c r="E58" i="197"/>
  <c r="D74" i="188"/>
  <c r="D75" i="188" s="1"/>
  <c r="E58" i="83"/>
  <c r="E74" i="83" s="1"/>
  <c r="E75" i="83" s="1"/>
  <c r="E58" i="48"/>
  <c r="E64" i="48" s="1"/>
  <c r="E73" i="84"/>
  <c r="E58" i="84"/>
  <c r="E69" i="84"/>
  <c r="E72" i="60"/>
  <c r="E72" i="58"/>
  <c r="E73" i="58"/>
  <c r="E58" i="9"/>
  <c r="E71" i="8"/>
  <c r="E73" i="8"/>
  <c r="E64" i="8"/>
  <c r="E58" i="8"/>
  <c r="D58" i="7"/>
  <c r="D74" i="7" s="1"/>
  <c r="E64" i="7"/>
  <c r="E64" i="108"/>
  <c r="E74" i="108"/>
  <c r="E76" i="108" s="1"/>
  <c r="E74" i="146"/>
  <c r="E76" i="146" s="1"/>
  <c r="E64" i="146"/>
  <c r="E64" i="89"/>
  <c r="E74" i="89"/>
  <c r="E75" i="89" s="1"/>
  <c r="E64" i="88"/>
  <c r="E74" i="88"/>
  <c r="E75" i="88" s="1"/>
  <c r="E64" i="114"/>
  <c r="E74" i="114"/>
  <c r="E75" i="114" s="1"/>
  <c r="E64" i="76"/>
  <c r="E74" i="76"/>
  <c r="E75" i="76" s="1"/>
  <c r="E64" i="36"/>
  <c r="E74" i="36"/>
  <c r="E75" i="36" s="1"/>
  <c r="E74" i="24"/>
  <c r="E76" i="24" s="1"/>
  <c r="E64" i="189"/>
  <c r="E74" i="189"/>
  <c r="E75" i="189" s="1"/>
  <c r="E64" i="112"/>
  <c r="E74" i="112"/>
  <c r="E75" i="112" s="1"/>
  <c r="E73" i="93"/>
  <c r="E74" i="93" s="1"/>
  <c r="E74" i="67"/>
  <c r="E75" i="67" s="1"/>
  <c r="E74" i="120"/>
  <c r="E75" i="120" s="1"/>
  <c r="E73" i="121"/>
  <c r="E58" i="121"/>
  <c r="E64" i="121"/>
  <c r="E74" i="81"/>
  <c r="E75" i="81" s="1"/>
  <c r="E69" i="11"/>
  <c r="E73" i="11"/>
  <c r="E64" i="11"/>
  <c r="E72" i="11"/>
  <c r="E72" i="10"/>
  <c r="E73" i="10"/>
  <c r="E64" i="10"/>
  <c r="E58" i="10"/>
  <c r="E74" i="194"/>
  <c r="E75" i="194" s="1"/>
  <c r="E74" i="209"/>
  <c r="E75" i="209" s="1"/>
  <c r="E64" i="209"/>
  <c r="E64" i="26"/>
  <c r="E74" i="26"/>
  <c r="E75" i="26" s="1"/>
  <c r="E74" i="216"/>
  <c r="E75" i="216" s="1"/>
  <c r="E64" i="216"/>
  <c r="E74" i="103"/>
  <c r="E75" i="103" s="1"/>
  <c r="E64" i="103"/>
  <c r="E74" i="212"/>
  <c r="E75" i="212" s="1"/>
  <c r="E74" i="202"/>
  <c r="E75" i="202" s="1"/>
  <c r="E64" i="202"/>
  <c r="E64" i="75"/>
  <c r="E74" i="75"/>
  <c r="E76" i="75" s="1"/>
  <c r="E64" i="129"/>
  <c r="E74" i="129"/>
  <c r="E75" i="129" s="1"/>
  <c r="E74" i="30"/>
  <c r="E75" i="30" s="1"/>
  <c r="E64" i="30"/>
  <c r="E74" i="42"/>
  <c r="E75" i="42" s="1"/>
  <c r="E64" i="42"/>
  <c r="E64" i="49"/>
  <c r="E74" i="49"/>
  <c r="E75" i="49" s="1"/>
  <c r="E74" i="69"/>
  <c r="E75" i="69" s="1"/>
  <c r="E64" i="29"/>
  <c r="E74" i="29"/>
  <c r="E75" i="29" s="1"/>
  <c r="E74" i="164"/>
  <c r="E75" i="164" s="1"/>
  <c r="E64" i="164"/>
  <c r="E64" i="214"/>
  <c r="E74" i="214"/>
  <c r="E75" i="214" s="1"/>
  <c r="E74" i="174"/>
  <c r="E75" i="174" s="1"/>
  <c r="E64" i="174"/>
  <c r="E74" i="205"/>
  <c r="E75" i="205" s="1"/>
  <c r="E64" i="205"/>
  <c r="E74" i="211"/>
  <c r="E76" i="211" s="1"/>
  <c r="E64" i="211"/>
  <c r="E74" i="213"/>
  <c r="E75" i="213" s="1"/>
  <c r="E64" i="213"/>
  <c r="E64" i="161"/>
  <c r="E74" i="161"/>
  <c r="E75" i="161" s="1"/>
  <c r="E74" i="46"/>
  <c r="E75" i="46" s="1"/>
  <c r="E64" i="46"/>
  <c r="E64" i="64"/>
  <c r="E74" i="64"/>
  <c r="E75" i="64" s="1"/>
  <c r="E64" i="191"/>
  <c r="E74" i="191"/>
  <c r="E75" i="191" s="1"/>
  <c r="E64" i="167"/>
  <c r="E74" i="167"/>
  <c r="E75" i="167" s="1"/>
  <c r="E74" i="165"/>
  <c r="E75" i="165" s="1"/>
  <c r="E64" i="210"/>
  <c r="E74" i="210"/>
  <c r="E75" i="210" s="1"/>
  <c r="E74" i="99"/>
  <c r="E75" i="99" s="1"/>
  <c r="E64" i="99"/>
  <c r="E74" i="28"/>
  <c r="E75" i="28" s="1"/>
  <c r="E64" i="28"/>
  <c r="E74" i="136"/>
  <c r="E75" i="136" s="1"/>
  <c r="E74" i="195"/>
  <c r="E75" i="195" s="1"/>
  <c r="E64" i="195"/>
  <c r="E74" i="22"/>
  <c r="E75" i="22" s="1"/>
  <c r="E64" i="22"/>
  <c r="E74" i="13" l="1"/>
  <c r="E74" i="60"/>
  <c r="E74" i="58"/>
  <c r="E74" i="201"/>
  <c r="E75" i="201" s="1"/>
  <c r="E64" i="102"/>
  <c r="D74" i="128"/>
  <c r="D75" i="128" s="1"/>
  <c r="E74" i="121"/>
  <c r="E74" i="9"/>
  <c r="E75" i="9" s="1"/>
  <c r="E64" i="27"/>
  <c r="E74" i="23"/>
  <c r="E75" i="23" s="1"/>
  <c r="E64" i="83"/>
  <c r="E74" i="79"/>
  <c r="E75" i="79" s="1"/>
  <c r="E74" i="128"/>
  <c r="E75" i="128" s="1"/>
  <c r="E64" i="128"/>
  <c r="E74" i="147"/>
  <c r="E76" i="147" s="1"/>
  <c r="E74" i="78"/>
  <c r="E75" i="78" s="1"/>
  <c r="E75" i="61"/>
  <c r="E74" i="94"/>
  <c r="E58" i="217"/>
  <c r="E74" i="217" s="1"/>
  <c r="E75" i="217" s="1"/>
  <c r="D74" i="217"/>
  <c r="D75" i="217" s="1"/>
  <c r="E64" i="62"/>
  <c r="E74" i="62"/>
  <c r="E75" i="62" s="1"/>
  <c r="E64" i="40"/>
  <c r="E74" i="40"/>
  <c r="E75" i="40" s="1"/>
  <c r="E64" i="187"/>
  <c r="E74" i="187"/>
  <c r="E75" i="187" s="1"/>
  <c r="E64" i="140"/>
  <c r="E74" i="140"/>
  <c r="E75" i="140" s="1"/>
  <c r="E64" i="113"/>
  <c r="E74" i="113"/>
  <c r="E75" i="113" s="1"/>
  <c r="E74" i="144"/>
  <c r="E75" i="144" s="1"/>
  <c r="E64" i="144"/>
  <c r="E64" i="39"/>
  <c r="E74" i="39"/>
  <c r="E75" i="39" s="1"/>
  <c r="E64" i="130"/>
  <c r="E74" i="130"/>
  <c r="E75" i="130" s="1"/>
  <c r="E64" i="38"/>
  <c r="E74" i="38"/>
  <c r="E75" i="38" s="1"/>
  <c r="E64" i="166"/>
  <c r="E74" i="166"/>
  <c r="E75" i="166" s="1"/>
  <c r="E74" i="168"/>
  <c r="E75" i="168" s="1"/>
  <c r="E64" i="168"/>
  <c r="E64" i="92"/>
  <c r="E74" i="92"/>
  <c r="E75" i="92" s="1"/>
  <c r="E64" i="137"/>
  <c r="E74" i="137"/>
  <c r="E75" i="137" s="1"/>
  <c r="E64" i="138"/>
  <c r="E74" i="138"/>
  <c r="E75" i="138" s="1"/>
  <c r="E64" i="115"/>
  <c r="E74" i="115"/>
  <c r="E75" i="115" s="1"/>
  <c r="E64" i="149"/>
  <c r="E74" i="149"/>
  <c r="E76" i="149" s="1"/>
  <c r="E64" i="43"/>
  <c r="E74" i="43"/>
  <c r="E75" i="43" s="1"/>
  <c r="E64" i="124"/>
  <c r="E74" i="124"/>
  <c r="E75" i="124" s="1"/>
  <c r="E64" i="34"/>
  <c r="E74" i="34"/>
  <c r="E75" i="34" s="1"/>
  <c r="E64" i="123"/>
  <c r="E74" i="123"/>
  <c r="E75" i="123" s="1"/>
  <c r="E64" i="106"/>
  <c r="E74" i="106"/>
  <c r="E75" i="106" s="1"/>
  <c r="E64" i="151"/>
  <c r="E74" i="151"/>
  <c r="E76" i="151" s="1"/>
  <c r="E74" i="96"/>
  <c r="E76" i="96" s="1"/>
  <c r="E64" i="96"/>
  <c r="E75" i="60"/>
  <c r="E75" i="13"/>
  <c r="E74" i="16"/>
  <c r="E75" i="16" s="1"/>
  <c r="E75" i="58"/>
  <c r="E74" i="48"/>
  <c r="E75" i="48" s="1"/>
  <c r="E74" i="122"/>
  <c r="E75" i="122" s="1"/>
  <c r="E64" i="41"/>
  <c r="E74" i="41"/>
  <c r="E75" i="41" s="1"/>
  <c r="E64" i="101"/>
  <c r="E74" i="101"/>
  <c r="E75" i="101" s="1"/>
  <c r="E64" i="173"/>
  <c r="E74" i="173"/>
  <c r="E75" i="173" s="1"/>
  <c r="E64" i="104"/>
  <c r="E74" i="104"/>
  <c r="E75" i="104" s="1"/>
  <c r="E64" i="57"/>
  <c r="E74" i="57"/>
  <c r="E75" i="57" s="1"/>
  <c r="E64" i="33"/>
  <c r="E74" i="33"/>
  <c r="E75" i="33" s="1"/>
  <c r="E64" i="109"/>
  <c r="E74" i="109"/>
  <c r="E76" i="109" s="1"/>
  <c r="E64" i="159"/>
  <c r="E74" i="159"/>
  <c r="E76" i="159" s="1"/>
  <c r="E64" i="135"/>
  <c r="E74" i="135"/>
  <c r="E76" i="135" s="1"/>
  <c r="E64" i="132"/>
  <c r="E74" i="132"/>
  <c r="E76" i="132" s="1"/>
  <c r="E64" i="133"/>
  <c r="E74" i="133"/>
  <c r="E76" i="133" s="1"/>
  <c r="E64" i="179"/>
  <c r="E74" i="179"/>
  <c r="E76" i="179" s="1"/>
  <c r="E64" i="142"/>
  <c r="E74" i="142"/>
  <c r="E76" i="142" s="1"/>
  <c r="E64" i="85"/>
  <c r="E74" i="85"/>
  <c r="E75" i="85" s="1"/>
  <c r="E64" i="47"/>
  <c r="E74" i="47"/>
  <c r="E75" i="47" s="1"/>
  <c r="E64" i="35"/>
  <c r="E74" i="35"/>
  <c r="E75" i="35" s="1"/>
  <c r="E74" i="186"/>
  <c r="E75" i="186" s="1"/>
  <c r="E64" i="186"/>
  <c r="E64" i="148"/>
  <c r="E74" i="148"/>
  <c r="E76" i="148" s="1"/>
  <c r="E64" i="152"/>
  <c r="E74" i="152"/>
  <c r="E76" i="152" s="1"/>
  <c r="E74" i="197"/>
  <c r="E75" i="197" s="1"/>
  <c r="E64" i="197"/>
  <c r="E64" i="188"/>
  <c r="E74" i="188"/>
  <c r="E75" i="188" s="1"/>
  <c r="E74" i="84"/>
  <c r="E75" i="84" s="1"/>
  <c r="E74" i="8"/>
  <c r="E75" i="8" s="1"/>
  <c r="E58" i="7"/>
  <c r="E74" i="7" s="1"/>
  <c r="E75" i="7" s="1"/>
  <c r="E74" i="11"/>
  <c r="E75" i="11" s="1"/>
  <c r="E74" i="10"/>
  <c r="E75" i="10" s="1"/>
  <c r="D75" i="7" l="1"/>
  <c r="E11" i="1"/>
  <c r="E21" i="1" s="1"/>
  <c r="E66" i="1" s="1"/>
  <c r="E73" i="1" l="1"/>
  <c r="E59" i="1"/>
  <c r="E72" i="1"/>
  <c r="Q39" i="1"/>
  <c r="R39" i="1" s="1"/>
  <c r="E58" i="1"/>
  <c r="E69" i="1"/>
  <c r="E71" i="1"/>
  <c r="E74" i="1" l="1"/>
  <c r="E75" i="1"/>
</calcChain>
</file>

<file path=xl/sharedStrings.xml><?xml version="1.0" encoding="utf-8"?>
<sst xmlns="http://schemas.openxmlformats.org/spreadsheetml/2006/main" count="20486" uniqueCount="270">
  <si>
    <t>PÓŁROCZNE SPRAWOZDANIE UBEZPIECZENIOWEGO FUNDUSZU KAPITAŁOWEGO</t>
  </si>
  <si>
    <t>TOWARZYSTWO UBEZPIECZEŃ  ALLIANZ ŻYCIE POLSKA S.A.</t>
  </si>
  <si>
    <t>(w zł)</t>
  </si>
  <si>
    <t xml:space="preserve">I.  </t>
  </si>
  <si>
    <t>1.</t>
  </si>
  <si>
    <t>lokaty</t>
  </si>
  <si>
    <t>2.</t>
  </si>
  <si>
    <t>środki pieniężne</t>
  </si>
  <si>
    <t>3.</t>
  </si>
  <si>
    <t>4.</t>
  </si>
  <si>
    <t>należności</t>
  </si>
  <si>
    <t>z tytułu transakcji zawartych na rynku finansowym</t>
  </si>
  <si>
    <t>pozostałe</t>
  </si>
  <si>
    <t xml:space="preserve">II.  </t>
  </si>
  <si>
    <t xml:space="preserve">pozostałe </t>
  </si>
  <si>
    <t>A.</t>
  </si>
  <si>
    <t>Aktywa netto funduszu na początek okresu sprawozdawczego</t>
  </si>
  <si>
    <t>B.</t>
  </si>
  <si>
    <t>I.</t>
  </si>
  <si>
    <t>Zwiększenia funduszu</t>
  </si>
  <si>
    <t>tytułem składek zwiększających wartość funduszu</t>
  </si>
  <si>
    <t>pozostałe przychody</t>
  </si>
  <si>
    <t>pozostałe zwiększenia</t>
  </si>
  <si>
    <t>II.</t>
  </si>
  <si>
    <t>Zmniejszenia funduszu</t>
  </si>
  <si>
    <t>tytułem wykupu</t>
  </si>
  <si>
    <t>tytułem wypłat pozostałych świadczeń ubezpieczeniowych</t>
  </si>
  <si>
    <t>tytułem opłat za ryzyko ubezpieczeniowe oraz innych opłat potrącanych z funduszu</t>
  </si>
  <si>
    <t>tytułem zwrotu składek ubezpieczeniowych</t>
  </si>
  <si>
    <t>5.</t>
  </si>
  <si>
    <t>tytułem opłat za zarządzanie funduszem oraz innych opłat tytułem administrowania funduszem</t>
  </si>
  <si>
    <t>6.</t>
  </si>
  <si>
    <t>pozostałe koszty</t>
  </si>
  <si>
    <t>7.</t>
  </si>
  <si>
    <t>pozostałe zmniejszenia</t>
  </si>
  <si>
    <t>C.</t>
  </si>
  <si>
    <t xml:space="preserve">Wynik netto z działalności inwestycyjnej </t>
  </si>
  <si>
    <t>D.</t>
  </si>
  <si>
    <t>Aktywa netto funduszu na koniec okresu sprawozdawczego</t>
  </si>
  <si>
    <t>Pozycja</t>
  </si>
  <si>
    <t>na początek okresu sprawozdawczego</t>
  </si>
  <si>
    <t>na koniec okresu sprawozdawczego</t>
  </si>
  <si>
    <t xml:space="preserve">LOKATY </t>
  </si>
  <si>
    <t>Lokaty (suma 1-12)</t>
  </si>
  <si>
    <t>papiery wartościowe emitowane, poręczone lub gwarantowane przez Skarb Państwa lub organizacje międzynarodowe, których członkiem jest Rzeczpospolita Polska</t>
  </si>
  <si>
    <t>obligacje emitowane lub poręczone przez jednostki samorządu terytorialnego lub związki jednostek samorządu terytorialnego</t>
  </si>
  <si>
    <t>inne dłużne papiery wartościowe o stałej stopie dochodu</t>
  </si>
  <si>
    <t>akcje</t>
  </si>
  <si>
    <t>udziały</t>
  </si>
  <si>
    <t>jednostki uczestnictwa i certyfikaty inwestycyjne w funduszach inwestycyjnych</t>
  </si>
  <si>
    <t>8.</t>
  </si>
  <si>
    <t>inne papiery wartościowe o zmiennej kwocie dochodu</t>
  </si>
  <si>
    <t>9.</t>
  </si>
  <si>
    <t>pożyczki</t>
  </si>
  <si>
    <t>10.</t>
  </si>
  <si>
    <t>nieruchomości</t>
  </si>
  <si>
    <t>11.</t>
  </si>
  <si>
    <t>depozyty bankowe</t>
  </si>
  <si>
    <t>12.</t>
  </si>
  <si>
    <t>pozostałe lokaty</t>
  </si>
  <si>
    <t>III.</t>
  </si>
  <si>
    <t>Środki pieniężne</t>
  </si>
  <si>
    <t>IV.</t>
  </si>
  <si>
    <t>Należności</t>
  </si>
  <si>
    <t>V.</t>
  </si>
  <si>
    <t>Zobowiązania</t>
  </si>
  <si>
    <t>Aktywa netto (w tym)</t>
  </si>
  <si>
    <t>krajowe</t>
  </si>
  <si>
    <t>Fundusz Konserwatywny</t>
  </si>
  <si>
    <t>Fundusz Zrównoważony</t>
  </si>
  <si>
    <t>Fundusz Aktywny</t>
  </si>
  <si>
    <t>Fundusz Międzynarodowy</t>
  </si>
  <si>
    <t>Fundusz Azjatycki</t>
  </si>
  <si>
    <t>Aktywny - Surowce i Nowe Gospodarki</t>
  </si>
  <si>
    <t>Zabezpieczony - Rynku Polskiego</t>
  </si>
  <si>
    <t>Zabezpieczony - Europy Wschodniej</t>
  </si>
  <si>
    <t>Zabezpieczony - Dalekiego Wschodu</t>
  </si>
  <si>
    <t>Millenium Master I</t>
  </si>
  <si>
    <t>Millenium Master II</t>
  </si>
  <si>
    <t>Millenium Master III</t>
  </si>
  <si>
    <t>Millenium Master IV</t>
  </si>
  <si>
    <t>Millenium Master V</t>
  </si>
  <si>
    <t>Millenium Master VI</t>
  </si>
  <si>
    <t>Millenium Master VII</t>
  </si>
  <si>
    <t>Fundusz Gwarantowany</t>
  </si>
  <si>
    <t>Fundusz Stabilnego Wzrostu</t>
  </si>
  <si>
    <t>Fundusz Dynamiczny</t>
  </si>
  <si>
    <t>Fundusz Aktywnej Alokacji</t>
  </si>
  <si>
    <t>Fundusz Akcji Plus</t>
  </si>
  <si>
    <t>Fundusz Akcji Małych i Średnich Spółek</t>
  </si>
  <si>
    <t>Fundusz Selektywny</t>
  </si>
  <si>
    <t>Fundusz Polskich Obligacji Skarbowych</t>
  </si>
  <si>
    <t>INFORMACJE DODATKOWE</t>
  </si>
  <si>
    <t xml:space="preserve">DO SPRAWOZDANIA PÓŁROCZNEGO </t>
  </si>
  <si>
    <t>FUNDUSZY KAPITAŁOWYCH</t>
  </si>
  <si>
    <t>TU ALLIANZ ŻYCIE POLSKA  S.A.</t>
  </si>
  <si>
    <t xml:space="preserve">Przypis składki brutto </t>
  </si>
  <si>
    <t xml:space="preserve">Potrącenia/ opłaty </t>
  </si>
  <si>
    <t xml:space="preserve">Składka netto </t>
  </si>
  <si>
    <t>Fundusz Pieniężny</t>
  </si>
  <si>
    <t>Strategii MultiObligacyjnych</t>
  </si>
  <si>
    <t>Fundusz Akcji Globalnych</t>
  </si>
  <si>
    <t>Fundusz Obligacji Globalnych</t>
  </si>
  <si>
    <t>WARTOŚĆ AKTYWÓW NETTO FUNDUSZU</t>
  </si>
  <si>
    <t xml:space="preserve">II. </t>
  </si>
  <si>
    <t>ZMIANY WARTOŚCI AKTYWÓW NETTO FUNDUSZU</t>
  </si>
  <si>
    <t>3.1.</t>
  </si>
  <si>
    <t>3.2.</t>
  </si>
  <si>
    <t>wobec ubezpieczających, ubezpieczonych lub uprawnionych z umów ubezpieczenia</t>
  </si>
  <si>
    <t>Aktywa</t>
  </si>
  <si>
    <t>III.  Aktywa netto (I-II)</t>
  </si>
  <si>
    <t>Wynik netto z działalności operacyjnej (I-II)</t>
  </si>
  <si>
    <t>Liczba jednostek uczestnictwa funduszu:</t>
  </si>
  <si>
    <t>Wartość jednostki uczestnictwa funduszu:</t>
  </si>
  <si>
    <t>minimalna wartość jednostki uczestnictwa funduszu w okresie sprawozdawczym</t>
  </si>
  <si>
    <t>maksymalna wartość jednostki uczestnictwa funduszu w okresie sprawozdawczym</t>
  </si>
  <si>
    <t xml:space="preserve">     ZESTAWIENIE AKTYWÓW NETTO FUNDUSZU</t>
  </si>
  <si>
    <t>Udział w aktywach       netto funduszu (w %)</t>
  </si>
  <si>
    <t>instrumenty pochodne</t>
  </si>
  <si>
    <t>zagraniczne - państwa UE</t>
  </si>
  <si>
    <t>zagraniczne - państwa poza UE</t>
  </si>
  <si>
    <t>LICZBA I WARTOŚĆ JEDNOSTEK ROZRACHUNKOWYCH uczestnictwa funduszu</t>
  </si>
  <si>
    <t>Wartość bilansowa (w zł)</t>
  </si>
  <si>
    <t>-</t>
  </si>
  <si>
    <t>Fundusz Energetyczny</t>
  </si>
  <si>
    <t>TOWARZYSTWO UBEZPIECZEŃ  ALLIANZ ŻYCIE POLSKA SA</t>
  </si>
  <si>
    <t>I</t>
  </si>
  <si>
    <t xml:space="preserve">I  </t>
  </si>
  <si>
    <t xml:space="preserve">II  </t>
  </si>
  <si>
    <t>III  Aktywa netto (I-II)</t>
  </si>
  <si>
    <t xml:space="preserve">II </t>
  </si>
  <si>
    <t>A</t>
  </si>
  <si>
    <t>B</t>
  </si>
  <si>
    <t>II</t>
  </si>
  <si>
    <t>C</t>
  </si>
  <si>
    <t>D</t>
  </si>
  <si>
    <t>III</t>
  </si>
  <si>
    <t>IV</t>
  </si>
  <si>
    <t>V</t>
  </si>
  <si>
    <t xml:space="preserve">Fundusz Obligacji </t>
  </si>
  <si>
    <t>Allianz Portfel Aktywnej Alokacji</t>
  </si>
  <si>
    <t>Allianz Portfel Dynamiczny</t>
  </si>
  <si>
    <t>Allianz Portfel Stabilnego Wzrostu</t>
  </si>
  <si>
    <t>Allianz Portfel Akcji Rynków Rozwiniętych</t>
  </si>
  <si>
    <t>Allianz Portfel Akcji Rynków Wschodzących</t>
  </si>
  <si>
    <t>Allianz Portfel Obligacji Zagranicznych</t>
  </si>
  <si>
    <t>Allianz Portfel Obligacji Obniżonego Ryzyka</t>
  </si>
  <si>
    <t>Allianz Portfel Strategicznej Alokacji</t>
  </si>
  <si>
    <t>Allianz Stabilnego Wzrostu</t>
  </si>
  <si>
    <t>Allianz Obligacji Plus</t>
  </si>
  <si>
    <t xml:space="preserve">Allianz Aktywnej Alokacji </t>
  </si>
  <si>
    <t>Allianz Akcji Małych i Średnich Spółek</t>
  </si>
  <si>
    <t>Allianz Konserwatywny</t>
  </si>
  <si>
    <t>Allianz Polskich Obligacji Skarbowych</t>
  </si>
  <si>
    <t>Allianz Selektywny</t>
  </si>
  <si>
    <t>Allianz Akcji Globalnych</t>
  </si>
  <si>
    <t>Allianz Dynamiczna Multistrategia</t>
  </si>
  <si>
    <t>Allianz Defensywna Multistrategia</t>
  </si>
  <si>
    <t>Allianz Zbalansowana Multistrategia</t>
  </si>
  <si>
    <t>Allianz Globalny Stabilnego Dochodu</t>
  </si>
  <si>
    <t>Allianz Aviva Dłużnych Papierów Korporacyjnych</t>
  </si>
  <si>
    <t>Allianz Franklin European Dividend Fund (PLN Hedged)</t>
  </si>
  <si>
    <t>Allianz Franklin Global Fundamental Strategies Fund (PLN Hedged)</t>
  </si>
  <si>
    <t>Allianz Franklin U.S. Opportunities Fund (PLN Hedged)</t>
  </si>
  <si>
    <t>Allianz Goldman Sachs Emerging Markets Debt Portfolio A (Acc) (PLN) Hedged</t>
  </si>
  <si>
    <t>Allianz Goldman Sachs Global Strategic Macro Bond Portfolio A (Acc) (PLN) Hedged</t>
  </si>
  <si>
    <t>Allianz Investor Akcji</t>
  </si>
  <si>
    <t>Allianz Investor Akcji Spółek Dywidendowych</t>
  </si>
  <si>
    <t>Allianz Investor TOP 25 Małych Spółek</t>
  </si>
  <si>
    <t>Allianz Investor Zrównoważony</t>
  </si>
  <si>
    <t>Allianz Investor BRIC</t>
  </si>
  <si>
    <t>Allianz Investor Gold</t>
  </si>
  <si>
    <t>Allianz Investor Indie i Chiny</t>
  </si>
  <si>
    <t>Allianz Investor Zabezpieczenia Emerytalnego</t>
  </si>
  <si>
    <t>Allianz JPM Global Healthcare Fund (PLN Hedged)</t>
  </si>
  <si>
    <t>Allianz JPM Global Strategic Bond (PLN Hedged)</t>
  </si>
  <si>
    <t>Allianz ESALIENS Akcji</t>
  </si>
  <si>
    <t>Allianz ESALIENS Obligacji</t>
  </si>
  <si>
    <t>Allianz ESALIENS Strateg</t>
  </si>
  <si>
    <t xml:space="preserve">Allianz NN Akcji </t>
  </si>
  <si>
    <t>Allianz NN Obligacji</t>
  </si>
  <si>
    <t>Allianz NN Średnich i Małych Spółek</t>
  </si>
  <si>
    <t>Allianz NN Europejski Spółek Dywidendowych</t>
  </si>
  <si>
    <t>Allianz NN Globalny Długu Korporacyjnego</t>
  </si>
  <si>
    <t>Allianz NN Globalny Spółek Dywidendowych</t>
  </si>
  <si>
    <t>Allianz NN Japonia</t>
  </si>
  <si>
    <t>Allianz NN Obligacji Rynków Wschodzących</t>
  </si>
  <si>
    <t>Allianz NN Spółek Dywidendowych USA</t>
  </si>
  <si>
    <t>Allianz NN Stabilny Globalnej Alokacji</t>
  </si>
  <si>
    <t>Allianz NN Spółek Dywidendowych Rynków Wschodzących</t>
  </si>
  <si>
    <t>Allianz Noble Fund Akcji Małych i Średnich Spółek</t>
  </si>
  <si>
    <t>Allianz Pekao Akcji Rynków Wschodzących</t>
  </si>
  <si>
    <t>Allianz Pekao Alternatywny Globalnego Dochodu</t>
  </si>
  <si>
    <t>Allianz Pekao Obligacji Strategicznych</t>
  </si>
  <si>
    <t>Allianz Pekao Wzrostu i Dochodu Rynku Europejskiego</t>
  </si>
  <si>
    <t>Allianz Pekao Surowców i Energii</t>
  </si>
  <si>
    <t>Allianz Pekao Akcji Polskich</t>
  </si>
  <si>
    <t>Allianz Pekao Dynamicznych Spółek</t>
  </si>
  <si>
    <t>Allianz Pekao Obligacji Plus</t>
  </si>
  <si>
    <t>Allianz Pekao Obligacji - Dynamiczna Alokacja 2</t>
  </si>
  <si>
    <t>Allianz Pekao Akcji - Aktywna Selekcja</t>
  </si>
  <si>
    <t>Allianz Pekao Akcji Europejskich</t>
  </si>
  <si>
    <t>Allianz Pekao Strategii Globalnej</t>
  </si>
  <si>
    <t>Allianz Pekao Akcji Małych i Średnich Spółek Rynków Rozwiniętych</t>
  </si>
  <si>
    <t>Allianz Pekao Obligacji i Dochodu</t>
  </si>
  <si>
    <t>Allianz PKO Akcji Nowa Europa</t>
  </si>
  <si>
    <t>Allianz PKO Obligacji Długoterminowych</t>
  </si>
  <si>
    <t>Allianz PKO Stabilnego Wzrostu</t>
  </si>
  <si>
    <t>Allianz PKO Zrównoważony</t>
  </si>
  <si>
    <t>Allianz PZU Akcji Spółek Dywidendowych</t>
  </si>
  <si>
    <t>Allianz PZU Akcji Krakowiak</t>
  </si>
  <si>
    <t>Allianz PZU Akcji Małych i Średnich Spółek</t>
  </si>
  <si>
    <t>Allianz PZU Medyczny</t>
  </si>
  <si>
    <t>Allianz PZU Zrównoważony</t>
  </si>
  <si>
    <t>Allianz PZU Akcji Rynków Rozwiniętych</t>
  </si>
  <si>
    <t>Allianz PZU Papierów Dłużnych POLONEZ</t>
  </si>
  <si>
    <t>Allianz Quercus Agresywny</t>
  </si>
  <si>
    <t>Allianz Quercus Ochrony Kapitału</t>
  </si>
  <si>
    <t>Allianz Quercus Global Balanced</t>
  </si>
  <si>
    <t>Allianz Schroder Asian Convertible Bond Fund (PLN Hedged)</t>
  </si>
  <si>
    <t>Allianz Schroder Asian Opportunities (PLN Hedged)</t>
  </si>
  <si>
    <t>Allianz Schroder Emerging Markets Debt Absolute Return (PLN Hedged)</t>
  </si>
  <si>
    <t>Allianz Schroder EURO Equity Fund (PLN Hedged)</t>
  </si>
  <si>
    <t>Allianz Schroder Frontier Markets Equity Fund (PLN Hedged)</t>
  </si>
  <si>
    <t>Allianz Schroder Global Diversified Growth Fund (PLN Hedged)</t>
  </si>
  <si>
    <t>Allianz Skarbiec Obligacji Wysokiego Dochodu</t>
  </si>
  <si>
    <t>Allianz Skarbiec Małych i Średnich Spółek</t>
  </si>
  <si>
    <t>Allianz Skarbiec Spółek Wzrostowych</t>
  </si>
  <si>
    <t>Allianz Skarbiec Top Brands</t>
  </si>
  <si>
    <t>Allianz Templeton Global Bond Fund (PLN Hedged)</t>
  </si>
  <si>
    <t>Allianz Templeton Global Total Return Fund (PLN Hedged)</t>
  </si>
  <si>
    <t xml:space="preserve">Allianz Investor Dochodowy </t>
  </si>
  <si>
    <t>Allianz Investor Oszczędnościowy</t>
  </si>
  <si>
    <t xml:space="preserve">Allianz NN Polski Odpowiedzialnego Inwestowania </t>
  </si>
  <si>
    <t>Allianz Pekao Spokojna Inwestycja</t>
  </si>
  <si>
    <t>Allianz Pekao Konserwatywny</t>
  </si>
  <si>
    <t>Allianz Pekao Konserwatywny Plus</t>
  </si>
  <si>
    <t>Allianz Skarbiec Konserwatywny</t>
  </si>
  <si>
    <t>Allianz Generali Obligacje Aktywny</t>
  </si>
  <si>
    <t>Allianz Generali Obligacje: Nowa Europa</t>
  </si>
  <si>
    <t>Allianz Generali Akcje: Nowa Europa</t>
  </si>
  <si>
    <t>Allianz Generali Akcje Małych i Średnich Spółek</t>
  </si>
  <si>
    <t>Allianz Generali Akcje Wzrostu</t>
  </si>
  <si>
    <t>Allianz Generali Korona Akcje</t>
  </si>
  <si>
    <t>Allianz Generali Korona Obligacje</t>
  </si>
  <si>
    <t>Allianz Generali Korona Dochodowy</t>
  </si>
  <si>
    <t>Allianz Generali Korona Zrównoważony</t>
  </si>
  <si>
    <t>Allianz Generali Oszczędnościowy</t>
  </si>
  <si>
    <t>Allianz Generali Stabilny Wzrost</t>
  </si>
  <si>
    <t>Allianz JPM Global Macro Opportunities Fund D (PLN)</t>
  </si>
  <si>
    <t>Allianz JPM Emerging Markets Opportunities Fund (PLN)</t>
  </si>
  <si>
    <t>Allianz ESALIENS Konserwatywny</t>
  </si>
  <si>
    <t>Allianz Noble Fund Akcji Polskich</t>
  </si>
  <si>
    <t>Allianz Schroder ISF - Global Credit High Income (PLN Hedged)</t>
  </si>
  <si>
    <t>Allianz Generali Złota</t>
  </si>
  <si>
    <t>31-12-2020</t>
  </si>
  <si>
    <t>Allianz Akcji Rynku Złota</t>
  </si>
  <si>
    <t>Allianz China A-Shares</t>
  </si>
  <si>
    <t>Allianz Pekao Bazowy 15 Dywidendowy</t>
  </si>
  <si>
    <t>Allianz Skarbiec Nowej Generacji</t>
  </si>
  <si>
    <t>30-06-2021</t>
  </si>
  <si>
    <t>SPORZĄDZONE NA DZIEŃ 30-06-2021</t>
  </si>
  <si>
    <t>30-06-2020</t>
  </si>
  <si>
    <t>NA DZIEŃ 30-06-2021</t>
  </si>
  <si>
    <t>Allianz Templeton Latin America Fund (PLN Hedged)</t>
  </si>
  <si>
    <t>Allianz Generali Akcji: Megatrendy</t>
  </si>
  <si>
    <t>Allianz NN Indeks Surowców</t>
  </si>
  <si>
    <t>Allianz Investor Quality</t>
  </si>
  <si>
    <t>Allianz Investor Akumulacji Kapitału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</si>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</sst>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z_ł_-;\-* #,##0.00\ _z_ł_-;_-* &quot;-&quot;??\ _z_ł_-;_-@_-"/>
    <numFmt numFmtId="165" formatCode="#,##0.0000"/>
    <numFmt numFmtId="166" formatCode="0.0000"/>
    <numFmt numFmtId="168" formatCode="#,##0.0000_ ;\-#,##0.0000\ "/>
    <numFmt numFmtId="170" formatCode="#,##0.00000"/>
  </numFmts>
  <fonts count="7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sz val="8"/>
      <color rgb="FF0070C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name val="Czcionka tekstu podstawowego"/>
      <family val="2"/>
      <charset val="238"/>
    </font>
    <font>
      <sz val="11"/>
      <name val="Calibri"/>
      <family val="2"/>
      <charset val="23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21" borderId="4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23" fillId="20" borderId="1" applyNumberFormat="0" applyAlignment="0" applyProtection="0"/>
    <xf numFmtId="9" fontId="4" fillId="0" borderId="0" applyFont="0" applyFill="0" applyBorder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23" borderId="9" applyNumberFormat="0" applyFont="0" applyAlignment="0" applyProtection="0"/>
    <xf numFmtId="0" fontId="28" fillId="3" borderId="0" applyNumberFormat="0" applyBorder="0" applyAlignment="0" applyProtection="0"/>
    <xf numFmtId="0" fontId="34" fillId="0" borderId="0"/>
    <xf numFmtId="0" fontId="22" fillId="23" borderId="66" applyNumberFormat="0" applyFont="0" applyAlignment="0" applyProtection="0"/>
    <xf numFmtId="0" fontId="24" fillId="0" borderId="65" applyNumberFormat="0" applyFill="0" applyAlignment="0" applyProtection="0"/>
    <xf numFmtId="0" fontId="23" fillId="20" borderId="63" applyNumberFormat="0" applyAlignment="0" applyProtection="0"/>
    <xf numFmtId="0" fontId="14" fillId="20" borderId="64" applyNumberFormat="0" applyAlignment="0" applyProtection="0"/>
    <xf numFmtId="0" fontId="13" fillId="7" borderId="63" applyNumberFormat="0" applyAlignment="0" applyProtection="0"/>
    <xf numFmtId="0" fontId="4" fillId="0" borderId="0"/>
    <xf numFmtId="0" fontId="22" fillId="23" borderId="70" applyNumberFormat="0" applyFont="0" applyAlignment="0" applyProtection="0"/>
    <xf numFmtId="0" fontId="24" fillId="0" borderId="69" applyNumberFormat="0" applyFill="0" applyAlignment="0" applyProtection="0"/>
    <xf numFmtId="0" fontId="23" fillId="20" borderId="67" applyNumberFormat="0" applyAlignment="0" applyProtection="0"/>
    <xf numFmtId="0" fontId="14" fillId="20" borderId="68" applyNumberFormat="0" applyAlignment="0" applyProtection="0"/>
    <xf numFmtId="0" fontId="13" fillId="7" borderId="67" applyNumberFormat="0" applyAlignment="0" applyProtection="0"/>
    <xf numFmtId="0" fontId="36" fillId="0" borderId="0"/>
    <xf numFmtId="0" fontId="37" fillId="33" borderId="0" applyNumberFormat="0" applyBorder="0" applyAlignment="0" applyProtection="0"/>
    <xf numFmtId="0" fontId="37" fillId="37" borderId="0" applyNumberFormat="0" applyBorder="0" applyAlignment="0" applyProtection="0"/>
    <xf numFmtId="0" fontId="37" fillId="41" borderId="0" applyNumberFormat="0" applyBorder="0" applyAlignment="0" applyProtection="0"/>
    <xf numFmtId="0" fontId="37" fillId="45" borderId="0" applyNumberFormat="0" applyBorder="0" applyAlignment="0" applyProtection="0"/>
    <xf numFmtId="0" fontId="37" fillId="49" borderId="0" applyNumberFormat="0" applyBorder="0" applyAlignment="0" applyProtection="0"/>
    <xf numFmtId="0" fontId="37" fillId="53" borderId="0" applyNumberFormat="0" applyBorder="0" applyAlignment="0" applyProtection="0"/>
    <xf numFmtId="0" fontId="37" fillId="34" borderId="0" applyNumberFormat="0" applyBorder="0" applyAlignment="0" applyProtection="0"/>
    <xf numFmtId="0" fontId="37" fillId="38" borderId="0" applyNumberFormat="0" applyBorder="0" applyAlignment="0" applyProtection="0"/>
    <xf numFmtId="0" fontId="37" fillId="42" borderId="0" applyNumberFormat="0" applyBorder="0" applyAlignment="0" applyProtection="0"/>
    <xf numFmtId="0" fontId="37" fillId="46" borderId="0" applyNumberFormat="0" applyBorder="0" applyAlignment="0" applyProtection="0"/>
    <xf numFmtId="0" fontId="37" fillId="50" borderId="0" applyNumberFormat="0" applyBorder="0" applyAlignment="0" applyProtection="0"/>
    <xf numFmtId="0" fontId="37" fillId="54" borderId="0" applyNumberFormat="0" applyBorder="0" applyAlignment="0" applyProtection="0"/>
    <xf numFmtId="0" fontId="38" fillId="35" borderId="0" applyNumberFormat="0" applyBorder="0" applyAlignment="0" applyProtection="0"/>
    <xf numFmtId="0" fontId="38" fillId="39" borderId="0" applyNumberFormat="0" applyBorder="0" applyAlignment="0" applyProtection="0"/>
    <xf numFmtId="0" fontId="38" fillId="43" borderId="0" applyNumberFormat="0" applyBorder="0" applyAlignment="0" applyProtection="0"/>
    <xf numFmtId="0" fontId="38" fillId="47" borderId="0" applyNumberFormat="0" applyBorder="0" applyAlignment="0" applyProtection="0"/>
    <xf numFmtId="0" fontId="38" fillId="51" borderId="0" applyNumberFormat="0" applyBorder="0" applyAlignment="0" applyProtection="0"/>
    <xf numFmtId="0" fontId="38" fillId="55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9" fillId="26" borderId="0" applyNumberFormat="0" applyBorder="0" applyAlignment="0" applyProtection="0"/>
    <xf numFmtId="0" fontId="40" fillId="29" borderId="74" applyNumberFormat="0" applyAlignment="0" applyProtection="0"/>
    <xf numFmtId="0" fontId="41" fillId="30" borderId="77" applyNumberFormat="0" applyAlignment="0" applyProtection="0"/>
    <xf numFmtId="0" fontId="42" fillId="0" borderId="0" applyNumberFormat="0" applyFill="0" applyBorder="0" applyAlignment="0" applyProtection="0"/>
    <xf numFmtId="0" fontId="43" fillId="25" borderId="0" applyNumberFormat="0" applyBorder="0" applyAlignment="0" applyProtection="0"/>
    <xf numFmtId="0" fontId="44" fillId="0" borderId="71" applyNumberFormat="0" applyFill="0" applyAlignment="0" applyProtection="0"/>
    <xf numFmtId="0" fontId="45" fillId="0" borderId="72" applyNumberFormat="0" applyFill="0" applyAlignment="0" applyProtection="0"/>
    <xf numFmtId="0" fontId="46" fillId="0" borderId="73" applyNumberFormat="0" applyFill="0" applyAlignment="0" applyProtection="0"/>
    <xf numFmtId="0" fontId="46" fillId="0" borderId="0" applyNumberFormat="0" applyFill="0" applyBorder="0" applyAlignment="0" applyProtection="0"/>
    <xf numFmtId="0" fontId="47" fillId="28" borderId="74" applyNumberFormat="0" applyAlignment="0" applyProtection="0"/>
    <xf numFmtId="0" fontId="48" fillId="0" borderId="76" applyNumberFormat="0" applyFill="0" applyAlignment="0" applyProtection="0"/>
    <xf numFmtId="0" fontId="49" fillId="27" borderId="0" applyNumberFormat="0" applyBorder="0" applyAlignment="0" applyProtection="0"/>
    <xf numFmtId="0" fontId="36" fillId="31" borderId="78" applyNumberFormat="0" applyFont="0" applyAlignment="0" applyProtection="0"/>
    <xf numFmtId="0" fontId="50" fillId="29" borderId="75" applyNumberFormat="0" applyAlignment="0" applyProtection="0"/>
    <xf numFmtId="0" fontId="51" fillId="0" borderId="0" applyNumberFormat="0" applyFill="0" applyBorder="0" applyAlignment="0" applyProtection="0"/>
    <xf numFmtId="0" fontId="52" fillId="0" borderId="7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54" fillId="31" borderId="78" applyNumberFormat="0" applyFont="0" applyAlignment="0" applyProtection="0"/>
    <xf numFmtId="0" fontId="4" fillId="31" borderId="78" applyNumberFormat="0" applyFont="0" applyAlignment="0" applyProtection="0"/>
    <xf numFmtId="0" fontId="57" fillId="0" borderId="0"/>
    <xf numFmtId="0" fontId="4" fillId="0" borderId="0"/>
    <xf numFmtId="0" fontId="13" fillId="7" borderId="89" applyNumberFormat="0" applyAlignment="0" applyProtection="0"/>
    <xf numFmtId="0" fontId="14" fillId="20" borderId="90" applyNumberFormat="0" applyAlignment="0" applyProtection="0"/>
    <xf numFmtId="0" fontId="23" fillId="20" borderId="89" applyNumberFormat="0" applyAlignment="0" applyProtection="0"/>
    <xf numFmtId="0" fontId="24" fillId="0" borderId="91" applyNumberFormat="0" applyFill="0" applyAlignment="0" applyProtection="0"/>
    <xf numFmtId="0" fontId="22" fillId="23" borderId="92" applyNumberFormat="0" applyFont="0" applyAlignment="0" applyProtection="0"/>
    <xf numFmtId="0" fontId="24" fillId="0" borderId="91" applyNumberFormat="0" applyFill="0" applyAlignment="0" applyProtection="0"/>
    <xf numFmtId="0" fontId="14" fillId="20" borderId="90" applyNumberFormat="0" applyAlignment="0" applyProtection="0"/>
    <xf numFmtId="0" fontId="22" fillId="23" borderId="92" applyNumberFormat="0" applyFont="0" applyAlignment="0" applyProtection="0"/>
    <xf numFmtId="0" fontId="22" fillId="23" borderId="92" applyNumberFormat="0" applyFont="0" applyAlignment="0" applyProtection="0"/>
    <xf numFmtId="0" fontId="4" fillId="0" borderId="0"/>
    <xf numFmtId="0" fontId="13" fillId="7" borderId="89" applyNumberFormat="0" applyAlignment="0" applyProtection="0"/>
    <xf numFmtId="0" fontId="14" fillId="20" borderId="90" applyNumberFormat="0" applyAlignment="0" applyProtection="0"/>
    <xf numFmtId="0" fontId="23" fillId="20" borderId="89" applyNumberFormat="0" applyAlignment="0" applyProtection="0"/>
    <xf numFmtId="0" fontId="24" fillId="0" borderId="91" applyNumberFormat="0" applyFill="0" applyAlignment="0" applyProtection="0"/>
    <xf numFmtId="0" fontId="23" fillId="20" borderId="89" applyNumberFormat="0" applyAlignment="0" applyProtection="0"/>
    <xf numFmtId="0" fontId="13" fillId="7" borderId="89" applyNumberFormat="0" applyAlignment="0" applyProtection="0"/>
    <xf numFmtId="0" fontId="4" fillId="0" borderId="0"/>
    <xf numFmtId="0" fontId="4" fillId="31" borderId="78" applyNumberFormat="0" applyFont="0" applyAlignment="0" applyProtection="0"/>
    <xf numFmtId="0" fontId="3" fillId="0" borderId="0"/>
    <xf numFmtId="0" fontId="4" fillId="0" borderId="0"/>
    <xf numFmtId="0" fontId="59" fillId="0" borderId="0"/>
    <xf numFmtId="0" fontId="6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64" fillId="0" borderId="0"/>
    <xf numFmtId="0" fontId="65" fillId="0" borderId="0"/>
    <xf numFmtId="0" fontId="66" fillId="0" borderId="0"/>
    <xf numFmtId="0" fontId="6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67" fillId="0" borderId="0"/>
    <xf numFmtId="0" fontId="1" fillId="0" borderId="0"/>
    <xf numFmtId="0" fontId="62" fillId="0" borderId="0"/>
  </cellStyleXfs>
  <cellXfs count="373">
    <xf numFmtId="0" fontId="0" fillId="0" borderId="0" xfId="0"/>
    <xf numFmtId="0" fontId="5" fillId="24" borderId="0" xfId="0" applyFont="1" applyFill="1"/>
    <xf numFmtId="4" fontId="5" fillId="24" borderId="0" xfId="0" applyNumberFormat="1" applyFont="1" applyFill="1"/>
    <xf numFmtId="0" fontId="5" fillId="24" borderId="0" xfId="0" applyFont="1" applyFill="1" applyBorder="1" applyAlignment="1">
      <alignment horizontal="left" wrapText="1"/>
    </xf>
    <xf numFmtId="0" fontId="8" fillId="24" borderId="10" xfId="0" applyFont="1" applyFill="1" applyBorder="1" applyAlignment="1">
      <alignment wrapText="1"/>
    </xf>
    <xf numFmtId="0" fontId="9" fillId="24" borderId="13" xfId="0" applyFont="1" applyFill="1" applyBorder="1" applyAlignment="1">
      <alignment horizontal="center"/>
    </xf>
    <xf numFmtId="0" fontId="9" fillId="24" borderId="18" xfId="0" applyFont="1" applyFill="1" applyBorder="1" applyAlignment="1">
      <alignment wrapText="1"/>
    </xf>
    <xf numFmtId="0" fontId="5" fillId="24" borderId="0" xfId="0" applyFont="1" applyFill="1" applyBorder="1" applyAlignment="1">
      <alignment horizontal="center" wrapText="1"/>
    </xf>
    <xf numFmtId="164" fontId="5" fillId="24" borderId="0" xfId="0" applyNumberFormat="1" applyFont="1" applyFill="1" applyBorder="1" applyAlignment="1">
      <alignment wrapText="1"/>
    </xf>
    <xf numFmtId="0" fontId="8" fillId="24" borderId="17" xfId="0" applyFont="1" applyFill="1" applyBorder="1" applyAlignment="1">
      <alignment horizontal="left" wrapText="1"/>
    </xf>
    <xf numFmtId="0" fontId="8" fillId="24" borderId="18" xfId="0" applyFont="1" applyFill="1" applyBorder="1" applyAlignment="1">
      <alignment horizontal="left" wrapText="1"/>
    </xf>
    <xf numFmtId="0" fontId="8" fillId="24" borderId="18" xfId="0" applyFont="1" applyFill="1" applyBorder="1" applyAlignment="1">
      <alignment wrapText="1"/>
    </xf>
    <xf numFmtId="0" fontId="9" fillId="24" borderId="27" xfId="0" applyFont="1" applyFill="1" applyBorder="1" applyAlignment="1">
      <alignment wrapText="1"/>
    </xf>
    <xf numFmtId="0" fontId="8" fillId="24" borderId="22" xfId="0" applyFont="1" applyFill="1" applyBorder="1"/>
    <xf numFmtId="0" fontId="9" fillId="24" borderId="17" xfId="0" applyFont="1" applyFill="1" applyBorder="1" applyAlignment="1">
      <alignment horizontal="center"/>
    </xf>
    <xf numFmtId="0" fontId="9" fillId="24" borderId="18" xfId="0" applyNumberFormat="1" applyFont="1" applyFill="1" applyBorder="1" applyAlignment="1">
      <alignment wrapText="1"/>
    </xf>
    <xf numFmtId="0" fontId="9" fillId="24" borderId="20" xfId="0" applyFont="1" applyFill="1" applyBorder="1" applyAlignment="1">
      <alignment horizontal="center"/>
    </xf>
    <xf numFmtId="0" fontId="9" fillId="24" borderId="19" xfId="0" applyNumberFormat="1" applyFont="1" applyFill="1" applyBorder="1" applyAlignment="1">
      <alignment wrapText="1"/>
    </xf>
    <xf numFmtId="4" fontId="5" fillId="24" borderId="27" xfId="0" applyNumberFormat="1" applyFont="1" applyFill="1" applyBorder="1" applyAlignment="1">
      <alignment horizontal="center" wrapText="1"/>
    </xf>
    <xf numFmtId="4" fontId="5" fillId="24" borderId="28" xfId="0" applyNumberFormat="1" applyFont="1" applyFill="1" applyBorder="1" applyAlignment="1">
      <alignment horizontal="center" wrapText="1"/>
    </xf>
    <xf numFmtId="0" fontId="8" fillId="24" borderId="29" xfId="0" applyFont="1" applyFill="1" applyBorder="1" applyAlignment="1">
      <alignment horizontal="left" wrapText="1"/>
    </xf>
    <xf numFmtId="0" fontId="9" fillId="24" borderId="26" xfId="0" applyFont="1" applyFill="1" applyBorder="1" applyAlignment="1">
      <alignment horizontal="center"/>
    </xf>
    <xf numFmtId="0" fontId="9" fillId="24" borderId="27" xfId="0" applyNumberFormat="1" applyFont="1" applyFill="1" applyBorder="1" applyAlignment="1">
      <alignment wrapText="1"/>
    </xf>
    <xf numFmtId="0" fontId="8" fillId="24" borderId="32" xfId="0" applyFont="1" applyFill="1" applyBorder="1"/>
    <xf numFmtId="0" fontId="8" fillId="24" borderId="33" xfId="0" applyNumberFormat="1" applyFont="1" applyFill="1" applyBorder="1" applyAlignment="1">
      <alignment wrapText="1"/>
    </xf>
    <xf numFmtId="4" fontId="8" fillId="24" borderId="33" xfId="0" applyNumberFormat="1" applyFont="1" applyFill="1" applyBorder="1"/>
    <xf numFmtId="10" fontId="8" fillId="24" borderId="34" xfId="37" applyNumberFormat="1" applyFont="1" applyFill="1" applyBorder="1"/>
    <xf numFmtId="0" fontId="0" fillId="24" borderId="0" xfId="0" applyFill="1"/>
    <xf numFmtId="4" fontId="8" fillId="24" borderId="24" xfId="0" applyNumberFormat="1" applyFont="1" applyFill="1" applyBorder="1"/>
    <xf numFmtId="0" fontId="8" fillId="24" borderId="13" xfId="0" applyFont="1" applyFill="1" applyBorder="1" applyAlignment="1">
      <alignment horizontal="center"/>
    </xf>
    <xf numFmtId="0" fontId="8" fillId="24" borderId="38" xfId="0" applyNumberFormat="1" applyFont="1" applyFill="1" applyBorder="1" applyAlignment="1">
      <alignment wrapText="1"/>
    </xf>
    <xf numFmtId="10" fontId="8" fillId="24" borderId="15" xfId="37" applyNumberFormat="1" applyFont="1" applyFill="1" applyBorder="1"/>
    <xf numFmtId="0" fontId="22" fillId="0" borderId="0" xfId="35"/>
    <xf numFmtId="0" fontId="29" fillId="0" borderId="0" xfId="35" applyFont="1"/>
    <xf numFmtId="164" fontId="29" fillId="0" borderId="0" xfId="35" applyNumberFormat="1" applyFont="1"/>
    <xf numFmtId="0" fontId="30" fillId="0" borderId="29" xfId="35" applyFont="1" applyBorder="1"/>
    <xf numFmtId="0" fontId="30" fillId="0" borderId="41" xfId="35" applyFont="1" applyBorder="1"/>
    <xf numFmtId="164" fontId="30" fillId="0" borderId="42" xfId="35" applyNumberFormat="1" applyFont="1" applyBorder="1"/>
    <xf numFmtId="164" fontId="30" fillId="0" borderId="37" xfId="35" applyNumberFormat="1" applyFont="1" applyBorder="1"/>
    <xf numFmtId="164" fontId="30" fillId="0" borderId="0" xfId="35" applyNumberFormat="1" applyFont="1"/>
    <xf numFmtId="0" fontId="30" fillId="0" borderId="43" xfId="35" applyFont="1" applyBorder="1"/>
    <xf numFmtId="0" fontId="30" fillId="0" borderId="0" xfId="35" applyFont="1" applyBorder="1"/>
    <xf numFmtId="164" fontId="31" fillId="0" borderId="44" xfId="35" applyNumberFormat="1" applyFont="1" applyBorder="1" applyAlignment="1">
      <alignment horizontal="center"/>
    </xf>
    <xf numFmtId="164" fontId="31" fillId="0" borderId="45" xfId="35" applyNumberFormat="1" applyFont="1" applyBorder="1" applyAlignment="1">
      <alignment horizontal="center"/>
    </xf>
    <xf numFmtId="0" fontId="30" fillId="0" borderId="46" xfId="35" applyFont="1" applyBorder="1"/>
    <xf numFmtId="0" fontId="30" fillId="0" borderId="47" xfId="35" applyFont="1" applyBorder="1"/>
    <xf numFmtId="164" fontId="31" fillId="0" borderId="48" xfId="35" applyNumberFormat="1" applyFont="1" applyBorder="1" applyAlignment="1">
      <alignment horizontal="center"/>
    </xf>
    <xf numFmtId="164" fontId="31" fillId="0" borderId="49" xfId="35" applyNumberFormat="1" applyFont="1" applyBorder="1" applyAlignment="1">
      <alignment horizontal="center"/>
    </xf>
    <xf numFmtId="164" fontId="30" fillId="0" borderId="44" xfId="35" applyNumberFormat="1" applyFont="1" applyBorder="1"/>
    <xf numFmtId="164" fontId="30" fillId="0" borderId="45" xfId="35" applyNumberFormat="1" applyFont="1" applyBorder="1"/>
    <xf numFmtId="0" fontId="31" fillId="0" borderId="43" xfId="35" applyFont="1" applyBorder="1"/>
    <xf numFmtId="0" fontId="31" fillId="0" borderId="0" xfId="35" applyFont="1" applyBorder="1"/>
    <xf numFmtId="164" fontId="31" fillId="0" borderId="44" xfId="35" applyNumberFormat="1" applyFont="1" applyFill="1" applyBorder="1"/>
    <xf numFmtId="164" fontId="31" fillId="0" borderId="44" xfId="35" applyNumberFormat="1" applyFont="1" applyBorder="1"/>
    <xf numFmtId="164" fontId="31" fillId="0" borderId="45" xfId="35" applyNumberFormat="1" applyFont="1" applyBorder="1"/>
    <xf numFmtId="0" fontId="31" fillId="0" borderId="29" xfId="35" applyFont="1" applyBorder="1"/>
    <xf numFmtId="0" fontId="31" fillId="0" borderId="41" xfId="35" applyFont="1" applyBorder="1"/>
    <xf numFmtId="164" fontId="31" fillId="0" borderId="42" xfId="35" applyNumberFormat="1" applyFont="1" applyBorder="1"/>
    <xf numFmtId="164" fontId="31" fillId="0" borderId="37" xfId="35" applyNumberFormat="1" applyFont="1" applyBorder="1"/>
    <xf numFmtId="0" fontId="31" fillId="0" borderId="46" xfId="35" applyFont="1" applyBorder="1"/>
    <xf numFmtId="0" fontId="31" fillId="0" borderId="47" xfId="35" applyFont="1" applyBorder="1"/>
    <xf numFmtId="164" fontId="31" fillId="0" borderId="48" xfId="35" applyNumberFormat="1" applyFont="1" applyBorder="1"/>
    <xf numFmtId="164" fontId="31" fillId="0" borderId="49" xfId="35" applyNumberFormat="1" applyFont="1" applyBorder="1"/>
    <xf numFmtId="164" fontId="30" fillId="0" borderId="48" xfId="35" applyNumberFormat="1" applyFont="1" applyBorder="1"/>
    <xf numFmtId="164" fontId="30" fillId="0" borderId="49" xfId="35" applyNumberFormat="1" applyFont="1" applyBorder="1"/>
    <xf numFmtId="10" fontId="8" fillId="24" borderId="31" xfId="37" applyNumberFormat="1" applyFont="1" applyFill="1" applyBorder="1"/>
    <xf numFmtId="164" fontId="0" fillId="0" borderId="0" xfId="0" applyNumberFormat="1"/>
    <xf numFmtId="0" fontId="9" fillId="24" borderId="39" xfId="0" applyFont="1" applyFill="1" applyBorder="1" applyAlignment="1">
      <alignment wrapText="1"/>
    </xf>
    <xf numFmtId="0" fontId="9" fillId="24" borderId="40" xfId="0" applyFont="1" applyFill="1" applyBorder="1" applyAlignment="1">
      <alignment wrapText="1"/>
    </xf>
    <xf numFmtId="4" fontId="8" fillId="24" borderId="14" xfId="0" applyNumberFormat="1" applyFont="1" applyFill="1" applyBorder="1" applyAlignment="1">
      <alignment horizontal="center" wrapText="1"/>
    </xf>
    <xf numFmtId="4" fontId="0" fillId="0" borderId="0" xfId="0" applyNumberFormat="1"/>
    <xf numFmtId="164" fontId="32" fillId="0" borderId="44" xfId="35" applyNumberFormat="1" applyFont="1" applyFill="1" applyBorder="1"/>
    <xf numFmtId="166" fontId="4" fillId="24" borderId="25" xfId="0" applyNumberFormat="1" applyFont="1" applyFill="1" applyBorder="1"/>
    <xf numFmtId="0" fontId="9" fillId="24" borderId="11" xfId="0" applyFont="1" applyFill="1" applyBorder="1" applyAlignment="1">
      <alignment horizontal="center"/>
    </xf>
    <xf numFmtId="4" fontId="33" fillId="0" borderId="0" xfId="0" applyNumberFormat="1" applyFont="1"/>
    <xf numFmtId="4" fontId="4" fillId="24" borderId="18" xfId="0" applyNumberFormat="1" applyFont="1" applyFill="1" applyBorder="1"/>
    <xf numFmtId="10" fontId="4" fillId="24" borderId="31" xfId="37" applyNumberFormat="1" applyFont="1" applyFill="1" applyBorder="1"/>
    <xf numFmtId="4" fontId="4" fillId="24" borderId="27" xfId="0" applyNumberFormat="1" applyFont="1" applyFill="1" applyBorder="1"/>
    <xf numFmtId="10" fontId="4" fillId="24" borderId="28" xfId="37" applyNumberFormat="1" applyFont="1" applyFill="1" applyBorder="1"/>
    <xf numFmtId="4" fontId="4" fillId="24" borderId="19" xfId="0" applyNumberFormat="1" applyFont="1" applyFill="1" applyBorder="1"/>
    <xf numFmtId="10" fontId="4" fillId="24" borderId="35" xfId="37" applyNumberFormat="1" applyFont="1" applyFill="1" applyBorder="1"/>
    <xf numFmtId="0" fontId="4" fillId="24" borderId="0" xfId="0" applyFont="1" applyFill="1"/>
    <xf numFmtId="0" fontId="7" fillId="24" borderId="0" xfId="0" applyFont="1" applyFill="1" applyBorder="1" applyAlignment="1">
      <alignment horizontal="center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22" xfId="0" applyFont="1" applyFill="1" applyBorder="1" applyAlignment="1">
      <alignment wrapText="1"/>
    </xf>
    <xf numFmtId="0" fontId="9" fillId="24" borderId="57" xfId="0" applyFont="1" applyFill="1" applyBorder="1" applyAlignment="1">
      <alignment wrapText="1"/>
    </xf>
    <xf numFmtId="0" fontId="8" fillId="24" borderId="17" xfId="0" applyFont="1" applyFill="1" applyBorder="1" applyAlignment="1">
      <alignment wrapText="1"/>
    </xf>
    <xf numFmtId="0" fontId="8" fillId="24" borderId="0" xfId="0" applyFont="1" applyFill="1" applyBorder="1" applyAlignment="1">
      <alignment horizontal="left" wrapText="1"/>
    </xf>
    <xf numFmtId="164" fontId="8" fillId="24" borderId="0" xfId="0" applyNumberFormat="1" applyFont="1" applyFill="1" applyBorder="1" applyAlignment="1">
      <alignment horizontal="right" wrapText="1"/>
    </xf>
    <xf numFmtId="0" fontId="8" fillId="24" borderId="30" xfId="0" applyFont="1" applyFill="1" applyBorder="1" applyAlignment="1">
      <alignment horizontal="left" wrapText="1"/>
    </xf>
    <xf numFmtId="0" fontId="8" fillId="24" borderId="14" xfId="0" applyFont="1" applyFill="1" applyBorder="1" applyAlignment="1">
      <alignment horizontal="left" wrapText="1"/>
    </xf>
    <xf numFmtId="0" fontId="8" fillId="24" borderId="26" xfId="0" applyFont="1" applyFill="1" applyBorder="1" applyAlignment="1">
      <alignment horizontal="left" wrapText="1"/>
    </xf>
    <xf numFmtId="0" fontId="8" fillId="24" borderId="27" xfId="0" applyFont="1" applyFill="1" applyBorder="1" applyAlignment="1">
      <alignment horizontal="left" wrapText="1"/>
    </xf>
    <xf numFmtId="0" fontId="8" fillId="24" borderId="54" xfId="0" applyFont="1" applyFill="1" applyBorder="1" applyAlignment="1">
      <alignment horizontal="left" wrapText="1"/>
    </xf>
    <xf numFmtId="0" fontId="8" fillId="24" borderId="21" xfId="0" applyFont="1" applyFill="1" applyBorder="1" applyAlignment="1">
      <alignment horizontal="left" wrapText="1"/>
    </xf>
    <xf numFmtId="4" fontId="8" fillId="24" borderId="16" xfId="0" applyNumberFormat="1" applyFont="1" applyFill="1" applyBorder="1"/>
    <xf numFmtId="0" fontId="9" fillId="24" borderId="17" xfId="0" applyFont="1" applyFill="1" applyBorder="1" applyAlignment="1">
      <alignment horizontal="left"/>
    </xf>
    <xf numFmtId="0" fontId="9" fillId="24" borderId="20" xfId="0" applyFont="1" applyFill="1" applyBorder="1" applyAlignment="1">
      <alignment horizontal="left"/>
    </xf>
    <xf numFmtId="0" fontId="9" fillId="24" borderId="17" xfId="0" applyFont="1" applyFill="1" applyBorder="1" applyAlignment="1">
      <alignment wrapText="1"/>
    </xf>
    <xf numFmtId="0" fontId="9" fillId="24" borderId="26" xfId="0" applyFont="1" applyFill="1" applyBorder="1" applyAlignment="1">
      <alignment wrapText="1"/>
    </xf>
    <xf numFmtId="0" fontId="9" fillId="24" borderId="17" xfId="0" applyFont="1" applyFill="1" applyBorder="1" applyAlignment="1">
      <alignment horizontal="left" wrapText="1"/>
    </xf>
    <xf numFmtId="0" fontId="9" fillId="24" borderId="26" xfId="0" applyFont="1" applyFill="1" applyBorder="1" applyAlignment="1">
      <alignment horizontal="left" wrapText="1"/>
    </xf>
    <xf numFmtId="0" fontId="9" fillId="24" borderId="20" xfId="0" applyFont="1" applyFill="1" applyBorder="1" applyAlignment="1">
      <alignment horizontal="left" wrapText="1"/>
    </xf>
    <xf numFmtId="0" fontId="9" fillId="24" borderId="0" xfId="0" applyFont="1" applyFill="1" applyBorder="1" applyAlignment="1">
      <alignment horizontal="left"/>
    </xf>
    <xf numFmtId="0" fontId="9" fillId="24" borderId="0" xfId="0" applyNumberFormat="1" applyFont="1" applyFill="1" applyBorder="1" applyAlignment="1">
      <alignment wrapText="1"/>
    </xf>
    <xf numFmtId="166" fontId="4" fillId="24" borderId="0" xfId="0" applyNumberFormat="1" applyFont="1" applyFill="1" applyBorder="1"/>
    <xf numFmtId="0" fontId="9" fillId="24" borderId="32" xfId="0" applyFont="1" applyFill="1" applyBorder="1" applyAlignment="1">
      <alignment horizontal="center"/>
    </xf>
    <xf numFmtId="0" fontId="9" fillId="24" borderId="33" xfId="0" applyNumberFormat="1" applyFont="1" applyFill="1" applyBorder="1" applyAlignment="1">
      <alignment wrapText="1"/>
    </xf>
    <xf numFmtId="4" fontId="4" fillId="24" borderId="33" xfId="0" applyNumberFormat="1" applyFont="1" applyFill="1" applyBorder="1"/>
    <xf numFmtId="10" fontId="4" fillId="24" borderId="34" xfId="37" applyNumberFormat="1" applyFont="1" applyFill="1" applyBorder="1"/>
    <xf numFmtId="0" fontId="8" fillId="24" borderId="60" xfId="0" applyFont="1" applyFill="1" applyBorder="1"/>
    <xf numFmtId="0" fontId="8" fillId="24" borderId="61" xfId="0" applyNumberFormat="1" applyFont="1" applyFill="1" applyBorder="1" applyAlignment="1">
      <alignment wrapText="1"/>
    </xf>
    <xf numFmtId="4" fontId="8" fillId="24" borderId="61" xfId="0" applyNumberFormat="1" applyFont="1" applyFill="1" applyBorder="1"/>
    <xf numFmtId="10" fontId="8" fillId="24" borderId="62" xfId="37" applyNumberFormat="1" applyFont="1" applyFill="1" applyBorder="1"/>
    <xf numFmtId="0" fontId="8" fillId="24" borderId="17" xfId="0" applyFont="1" applyFill="1" applyBorder="1"/>
    <xf numFmtId="0" fontId="8" fillId="24" borderId="18" xfId="0" applyNumberFormat="1" applyFont="1" applyFill="1" applyBorder="1" applyAlignment="1">
      <alignment wrapText="1"/>
    </xf>
    <xf numFmtId="4" fontId="8" fillId="24" borderId="18" xfId="0" applyNumberFormat="1" applyFont="1" applyFill="1" applyBorder="1"/>
    <xf numFmtId="0" fontId="9" fillId="24" borderId="26" xfId="0" applyFont="1" applyFill="1" applyBorder="1" applyAlignment="1">
      <alignment horizontal="left"/>
    </xf>
    <xf numFmtId="0" fontId="8" fillId="24" borderId="39" xfId="0" applyNumberFormat="1" applyFont="1" applyFill="1" applyBorder="1" applyAlignment="1">
      <alignment wrapText="1"/>
    </xf>
    <xf numFmtId="4" fontId="4" fillId="24" borderId="55" xfId="0" applyNumberFormat="1" applyFont="1" applyFill="1" applyBorder="1"/>
    <xf numFmtId="0" fontId="8" fillId="24" borderId="14" xfId="0" applyNumberFormat="1" applyFont="1" applyFill="1" applyBorder="1" applyAlignment="1">
      <alignment wrapText="1"/>
    </xf>
    <xf numFmtId="4" fontId="8" fillId="24" borderId="14" xfId="0" applyNumberFormat="1" applyFont="1" applyFill="1" applyBorder="1" applyAlignment="1">
      <alignment horizontal="right" wrapText="1"/>
    </xf>
    <xf numFmtId="0" fontId="8" fillId="24" borderId="23" xfId="0" applyFont="1" applyFill="1" applyBorder="1" applyAlignment="1">
      <alignment wrapText="1"/>
    </xf>
    <xf numFmtId="0" fontId="9" fillId="24" borderId="32" xfId="0" applyFont="1" applyFill="1" applyBorder="1" applyAlignment="1">
      <alignment horizontal="left"/>
    </xf>
    <xf numFmtId="0" fontId="8" fillId="24" borderId="17" xfId="0" applyFont="1" applyFill="1" applyBorder="1" applyAlignment="1">
      <alignment horizontal="left"/>
    </xf>
    <xf numFmtId="0" fontId="8" fillId="24" borderId="60" xfId="0" applyFont="1" applyFill="1" applyBorder="1" applyAlignment="1">
      <alignment horizontal="left"/>
    </xf>
    <xf numFmtId="0" fontId="8" fillId="24" borderId="32" xfId="0" applyFont="1" applyFill="1" applyBorder="1" applyAlignment="1">
      <alignment horizontal="left"/>
    </xf>
    <xf numFmtId="0" fontId="35" fillId="24" borderId="0" xfId="0" applyFont="1" applyFill="1" applyBorder="1" applyAlignment="1">
      <alignment horizontal="left" vertical="center" wrapText="1"/>
    </xf>
    <xf numFmtId="0" fontId="7" fillId="24" borderId="0" xfId="0" applyFont="1" applyFill="1" applyBorder="1" applyAlignment="1">
      <alignment horizontal="center"/>
    </xf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7" fillId="24" borderId="0" xfId="0" applyFont="1" applyFill="1" applyBorder="1" applyAlignment="1">
      <alignment horizontal="center"/>
    </xf>
    <xf numFmtId="164" fontId="8" fillId="24" borderId="12" xfId="0" applyNumberFormat="1" applyFont="1" applyFill="1" applyBorder="1" applyAlignment="1">
      <alignment horizontal="right" wrapText="1"/>
    </xf>
    <xf numFmtId="165" fontId="4" fillId="24" borderId="50" xfId="0" applyNumberFormat="1" applyFont="1" applyFill="1" applyBorder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4" fontId="4" fillId="0" borderId="0" xfId="0" applyNumberFormat="1" applyFont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30" fillId="0" borderId="0" xfId="35" applyNumberFormat="1" applyFont="1"/>
    <xf numFmtId="0" fontId="0" fillId="0" borderId="0" xfId="0" applyFill="1"/>
    <xf numFmtId="4" fontId="0" fillId="0" borderId="0" xfId="0" applyNumberFormat="1" applyFill="1"/>
    <xf numFmtId="4" fontId="33" fillId="0" borderId="0" xfId="0" applyNumberFormat="1" applyFont="1" applyFill="1"/>
    <xf numFmtId="4" fontId="8" fillId="0" borderId="16" xfId="0" applyNumberFormat="1" applyFont="1" applyFill="1" applyBorder="1"/>
    <xf numFmtId="4" fontId="8" fillId="0" borderId="24" xfId="0" applyNumberFormat="1" applyFont="1" applyFill="1" applyBorder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8" fillId="24" borderId="10" xfId="0" applyFont="1" applyFill="1" applyBorder="1" applyAlignment="1">
      <alignment wrapText="1"/>
    </xf>
    <xf numFmtId="0" fontId="8" fillId="24" borderId="10" xfId="0" applyFont="1" applyFill="1" applyBorder="1" applyAlignment="1">
      <alignment wrapText="1"/>
    </xf>
    <xf numFmtId="0" fontId="4" fillId="0" borderId="0" xfId="0" applyFont="1"/>
    <xf numFmtId="0" fontId="4" fillId="24" borderId="17" xfId="0" applyFont="1" applyFill="1" applyBorder="1" applyAlignment="1">
      <alignment horizontal="left" wrapText="1"/>
    </xf>
    <xf numFmtId="0" fontId="4" fillId="24" borderId="18" xfId="0" applyFont="1" applyFill="1" applyBorder="1" applyAlignment="1">
      <alignment wrapText="1"/>
    </xf>
    <xf numFmtId="0" fontId="4" fillId="24" borderId="39" xfId="0" applyFont="1" applyFill="1" applyBorder="1" applyAlignment="1">
      <alignment wrapText="1"/>
    </xf>
    <xf numFmtId="0" fontId="4" fillId="24" borderId="26" xfId="0" applyFont="1" applyFill="1" applyBorder="1" applyAlignment="1">
      <alignment horizontal="left" wrapText="1"/>
    </xf>
    <xf numFmtId="0" fontId="4" fillId="24" borderId="57" xfId="0" applyFont="1" applyFill="1" applyBorder="1" applyAlignment="1">
      <alignment wrapText="1"/>
    </xf>
    <xf numFmtId="0" fontId="4" fillId="24" borderId="20" xfId="0" applyFont="1" applyFill="1" applyBorder="1" applyAlignment="1">
      <alignment horizontal="left" wrapText="1"/>
    </xf>
    <xf numFmtId="0" fontId="4" fillId="24" borderId="40" xfId="0" applyFont="1" applyFill="1" applyBorder="1" applyAlignment="1">
      <alignment wrapText="1"/>
    </xf>
    <xf numFmtId="0" fontId="4" fillId="24" borderId="13" xfId="0" applyFont="1" applyFill="1" applyBorder="1" applyAlignment="1">
      <alignment horizontal="center"/>
    </xf>
    <xf numFmtId="0" fontId="4" fillId="24" borderId="17" xfId="0" applyFont="1" applyFill="1" applyBorder="1" applyAlignment="1">
      <alignment wrapText="1"/>
    </xf>
    <xf numFmtId="0" fontId="4" fillId="24" borderId="26" xfId="0" applyFont="1" applyFill="1" applyBorder="1" applyAlignment="1">
      <alignment wrapText="1"/>
    </xf>
    <xf numFmtId="0" fontId="4" fillId="24" borderId="27" xfId="0" applyFont="1" applyFill="1" applyBorder="1" applyAlignment="1">
      <alignment wrapText="1"/>
    </xf>
    <xf numFmtId="0" fontId="4" fillId="24" borderId="17" xfId="0" applyFont="1" applyFill="1" applyBorder="1" applyAlignment="1">
      <alignment horizontal="left"/>
    </xf>
    <xf numFmtId="0" fontId="4" fillId="24" borderId="18" xfId="0" applyNumberFormat="1" applyFont="1" applyFill="1" applyBorder="1" applyAlignment="1">
      <alignment wrapText="1"/>
    </xf>
    <xf numFmtId="0" fontId="4" fillId="24" borderId="26" xfId="0" applyFont="1" applyFill="1" applyBorder="1" applyAlignment="1">
      <alignment horizontal="left"/>
    </xf>
    <xf numFmtId="0" fontId="4" fillId="24" borderId="27" xfId="0" applyNumberFormat="1" applyFont="1" applyFill="1" applyBorder="1" applyAlignment="1">
      <alignment wrapText="1"/>
    </xf>
    <xf numFmtId="0" fontId="4" fillId="24" borderId="20" xfId="0" applyFont="1" applyFill="1" applyBorder="1" applyAlignment="1">
      <alignment horizontal="left"/>
    </xf>
    <xf numFmtId="0" fontId="4" fillId="24" borderId="19" xfId="0" applyNumberFormat="1" applyFont="1" applyFill="1" applyBorder="1" applyAlignment="1">
      <alignment wrapText="1"/>
    </xf>
    <xf numFmtId="0" fontId="4" fillId="24" borderId="0" xfId="0" applyFont="1" applyFill="1" applyBorder="1" applyAlignment="1">
      <alignment horizontal="left"/>
    </xf>
    <xf numFmtId="0" fontId="4" fillId="24" borderId="0" xfId="0" applyNumberFormat="1" applyFont="1" applyFill="1" applyBorder="1" applyAlignment="1">
      <alignment wrapText="1"/>
    </xf>
    <xf numFmtId="170" fontId="0" fillId="0" borderId="0" xfId="0" applyNumberFormat="1"/>
    <xf numFmtId="0" fontId="8" fillId="24" borderId="38" xfId="0" applyFont="1" applyFill="1" applyBorder="1" applyAlignment="1">
      <alignment wrapText="1"/>
    </xf>
    <xf numFmtId="0" fontId="9" fillId="24" borderId="87" xfId="0" applyFont="1" applyFill="1" applyBorder="1" applyAlignment="1">
      <alignment wrapText="1"/>
    </xf>
    <xf numFmtId="0" fontId="9" fillId="24" borderId="88" xfId="0" applyFont="1" applyFill="1" applyBorder="1" applyAlignment="1">
      <alignment wrapText="1"/>
    </xf>
    <xf numFmtId="0" fontId="8" fillId="24" borderId="87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166" fontId="56" fillId="24" borderId="0" xfId="0" applyNumberFormat="1" applyFont="1" applyFill="1" applyBorder="1"/>
    <xf numFmtId="0" fontId="8" fillId="24" borderId="10" xfId="0" applyFont="1" applyFill="1" applyBorder="1" applyAlignment="1">
      <alignment wrapText="1"/>
    </xf>
    <xf numFmtId="0" fontId="8" fillId="24" borderId="10" xfId="0" applyFont="1" applyFill="1" applyBorder="1" applyAlignment="1">
      <alignment wrapText="1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0" fontId="4" fillId="24" borderId="11" xfId="0" applyFont="1" applyFill="1" applyBorder="1" applyAlignment="1">
      <alignment horizontal="center"/>
    </xf>
    <xf numFmtId="0" fontId="8" fillId="24" borderId="39" xfId="0" applyFont="1" applyFill="1" applyBorder="1" applyAlignment="1">
      <alignment wrapText="1"/>
    </xf>
    <xf numFmtId="4" fontId="55" fillId="24" borderId="16" xfId="0" applyNumberFormat="1" applyFont="1" applyFill="1" applyBorder="1"/>
    <xf numFmtId="4" fontId="58" fillId="24" borderId="0" xfId="0" applyNumberFormat="1" applyFont="1" applyFill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164" fontId="58" fillId="24" borderId="0" xfId="0" applyNumberFormat="1" applyFont="1" applyFill="1" applyBorder="1" applyAlignment="1">
      <alignment wrapText="1"/>
    </xf>
    <xf numFmtId="164" fontId="55" fillId="24" borderId="0" xfId="0" applyNumberFormat="1" applyFont="1" applyFill="1" applyBorder="1" applyAlignment="1">
      <alignment horizontal="right" wrapText="1"/>
    </xf>
    <xf numFmtId="164" fontId="8" fillId="24" borderId="37" xfId="0" applyNumberFormat="1" applyFont="1" applyFill="1" applyBorder="1" applyAlignment="1">
      <alignment horizontal="right" wrapText="1"/>
    </xf>
    <xf numFmtId="0" fontId="4" fillId="24" borderId="33" xfId="0" applyNumberFormat="1" applyFont="1" applyFill="1" applyBorder="1" applyAlignment="1">
      <alignment wrapText="1"/>
    </xf>
    <xf numFmtId="0" fontId="4" fillId="24" borderId="32" xfId="0" applyFont="1" applyFill="1" applyBorder="1" applyAlignment="1">
      <alignment horizontal="left"/>
    </xf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164" fontId="8" fillId="24" borderId="24" xfId="0" applyNumberFormat="1" applyFont="1" applyFill="1" applyBorder="1" applyAlignment="1">
      <alignment horizontal="right" wrapText="1"/>
    </xf>
    <xf numFmtId="164" fontId="4" fillId="24" borderId="36" xfId="0" applyNumberFormat="1" applyFont="1" applyFill="1" applyBorder="1" applyAlignment="1">
      <alignment horizontal="right" wrapText="1"/>
    </xf>
    <xf numFmtId="4" fontId="4" fillId="24" borderId="80" xfId="0" applyNumberFormat="1" applyFont="1" applyFill="1" applyBorder="1"/>
    <xf numFmtId="0" fontId="4" fillId="24" borderId="87" xfId="0" applyFont="1" applyFill="1" applyBorder="1" applyAlignment="1">
      <alignment wrapText="1"/>
    </xf>
    <xf numFmtId="0" fontId="4" fillId="24" borderId="88" xfId="0" applyFont="1" applyFill="1" applyBorder="1" applyAlignment="1">
      <alignment wrapText="1"/>
    </xf>
    <xf numFmtId="164" fontId="4" fillId="0" borderId="86" xfId="0" applyNumberFormat="1" applyFont="1" applyFill="1" applyBorder="1" applyAlignment="1">
      <alignment horizontal="right" wrapText="1"/>
    </xf>
    <xf numFmtId="164" fontId="4" fillId="24" borderId="86" xfId="0" applyNumberFormat="1" applyFont="1" applyFill="1" applyBorder="1" applyAlignment="1">
      <alignment horizontal="right" wrapText="1"/>
    </xf>
    <xf numFmtId="164" fontId="4" fillId="24" borderId="93" xfId="0" applyNumberFormat="1" applyFont="1" applyFill="1" applyBorder="1" applyAlignment="1">
      <alignment horizontal="right" wrapText="1"/>
    </xf>
    <xf numFmtId="164" fontId="8" fillId="24" borderId="86" xfId="0" applyNumberFormat="1" applyFont="1" applyFill="1" applyBorder="1" applyAlignment="1">
      <alignment horizontal="right" wrapText="1"/>
    </xf>
    <xf numFmtId="170" fontId="4" fillId="0" borderId="0" xfId="0" applyNumberFormat="1" applyFont="1"/>
    <xf numFmtId="4" fontId="56" fillId="0" borderId="0" xfId="0" applyNumberFormat="1" applyFont="1"/>
    <xf numFmtId="0" fontId="4" fillId="0" borderId="18" xfId="0" applyFont="1" applyFill="1" applyBorder="1" applyAlignment="1">
      <alignment wrapText="1"/>
    </xf>
    <xf numFmtId="15" fontId="8" fillId="24" borderId="97" xfId="0" quotePrefix="1" applyNumberFormat="1" applyFont="1" applyFill="1" applyBorder="1" applyAlignment="1">
      <alignment horizontal="center" wrapText="1"/>
    </xf>
    <xf numFmtId="164" fontId="4" fillId="0" borderId="0" xfId="0" applyNumberFormat="1" applyFont="1"/>
    <xf numFmtId="0" fontId="35" fillId="24" borderId="0" xfId="0" applyFont="1" applyFill="1" applyBorder="1" applyAlignment="1">
      <alignment horizontal="left" vertical="center" wrapText="1"/>
    </xf>
    <xf numFmtId="0" fontId="8" fillId="24" borderId="10" xfId="0" applyFont="1" applyFill="1" applyBorder="1" applyAlignment="1">
      <alignment wrapText="1"/>
    </xf>
    <xf numFmtId="14" fontId="31" fillId="0" borderId="44" xfId="35" applyNumberFormat="1" applyFont="1" applyBorder="1" applyAlignment="1">
      <alignment horizontal="center"/>
    </xf>
    <xf numFmtId="14" fontId="31" fillId="0" borderId="45" xfId="35" applyNumberFormat="1" applyFont="1" applyBorder="1" applyAlignment="1">
      <alignment horizontal="center"/>
    </xf>
    <xf numFmtId="15" fontId="8" fillId="24" borderId="12" xfId="0" quotePrefix="1" applyNumberFormat="1" applyFont="1" applyFill="1" applyBorder="1" applyAlignment="1">
      <alignment horizontal="center" wrapText="1"/>
    </xf>
    <xf numFmtId="15" fontId="8" fillId="24" borderId="21" xfId="0" quotePrefix="1" applyNumberFormat="1" applyFont="1" applyFill="1" applyBorder="1" applyAlignment="1">
      <alignment horizontal="center" wrapText="1"/>
    </xf>
    <xf numFmtId="164" fontId="61" fillId="24" borderId="0" xfId="0" applyNumberFormat="1" applyFont="1" applyFill="1" applyBorder="1" applyAlignment="1">
      <alignment horizontal="right" wrapText="1"/>
    </xf>
    <xf numFmtId="0" fontId="8" fillId="0" borderId="17" xfId="0" applyFont="1" applyFill="1" applyBorder="1" applyAlignment="1">
      <alignment horizontal="left" wrapText="1"/>
    </xf>
    <xf numFmtId="0" fontId="8" fillId="0" borderId="18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wrapText="1"/>
    </xf>
    <xf numFmtId="0" fontId="9" fillId="0" borderId="18" xfId="0" applyFont="1" applyFill="1" applyBorder="1" applyAlignment="1">
      <alignment wrapText="1"/>
    </xf>
    <xf numFmtId="0" fontId="8" fillId="0" borderId="1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9" fillId="0" borderId="26" xfId="0" applyFont="1" applyFill="1" applyBorder="1" applyAlignment="1">
      <alignment wrapText="1"/>
    </xf>
    <xf numFmtId="0" fontId="9" fillId="0" borderId="27" xfId="0" applyFont="1" applyFill="1" applyBorder="1" applyAlignment="1">
      <alignment wrapText="1"/>
    </xf>
    <xf numFmtId="164" fontId="8" fillId="0" borderId="55" xfId="0" applyNumberFormat="1" applyFont="1" applyFill="1" applyBorder="1" applyAlignment="1">
      <alignment horizontal="right" wrapText="1"/>
    </xf>
    <xf numFmtId="164" fontId="8" fillId="0" borderId="25" xfId="0" applyNumberFormat="1" applyFont="1" applyFill="1" applyBorder="1" applyAlignment="1">
      <alignment horizontal="right" wrapText="1"/>
    </xf>
    <xf numFmtId="164" fontId="4" fillId="0" borderId="25" xfId="0" applyNumberFormat="1" applyFont="1" applyFill="1" applyBorder="1" applyAlignment="1">
      <alignment horizontal="right" wrapText="1"/>
    </xf>
    <xf numFmtId="164" fontId="4" fillId="0" borderId="50" xfId="0" applyNumberFormat="1" applyFont="1" applyFill="1" applyBorder="1" applyAlignment="1">
      <alignment horizontal="right" wrapText="1"/>
    </xf>
    <xf numFmtId="164" fontId="8" fillId="0" borderId="50" xfId="0" applyNumberFormat="1" applyFont="1" applyFill="1" applyBorder="1" applyAlignment="1">
      <alignment horizontal="right" wrapText="1"/>
    </xf>
    <xf numFmtId="164" fontId="8" fillId="24" borderId="50" xfId="0" applyNumberFormat="1" applyFont="1" applyFill="1" applyBorder="1" applyAlignment="1">
      <alignment horizontal="right" wrapText="1"/>
    </xf>
    <xf numFmtId="166" fontId="4" fillId="24" borderId="36" xfId="0" applyNumberFormat="1" applyFont="1" applyFill="1" applyBorder="1"/>
    <xf numFmtId="4" fontId="8" fillId="0" borderId="96" xfId="0" applyNumberFormat="1" applyFont="1" applyFill="1" applyBorder="1"/>
    <xf numFmtId="4" fontId="4" fillId="0" borderId="96" xfId="0" applyNumberFormat="1" applyFont="1" applyFill="1" applyBorder="1"/>
    <xf numFmtId="166" fontId="4" fillId="0" borderId="25" xfId="0" applyNumberFormat="1" applyFont="1" applyFill="1" applyBorder="1"/>
    <xf numFmtId="164" fontId="4" fillId="24" borderId="0" xfId="0" applyNumberFormat="1" applyFont="1" applyFill="1" applyBorder="1" applyAlignment="1">
      <alignment wrapText="1"/>
    </xf>
    <xf numFmtId="164" fontId="63" fillId="24" borderId="0" xfId="0" applyNumberFormat="1" applyFont="1" applyFill="1" applyBorder="1" applyAlignment="1">
      <alignment wrapText="1"/>
    </xf>
    <xf numFmtId="4" fontId="4" fillId="0" borderId="80" xfId="138" applyNumberFormat="1" applyFont="1" applyFill="1" applyBorder="1" applyAlignment="1">
      <alignment horizontal="right" vertical="top"/>
    </xf>
    <xf numFmtId="0" fontId="8" fillId="24" borderId="10" xfId="0" applyFont="1" applyFill="1" applyBorder="1" applyAlignment="1">
      <alignment wrapText="1"/>
    </xf>
    <xf numFmtId="4" fontId="55" fillId="24" borderId="24" xfId="0" applyNumberFormat="1" applyFont="1" applyFill="1" applyBorder="1"/>
    <xf numFmtId="164" fontId="56" fillId="24" borderId="51" xfId="0" applyNumberFormat="1" applyFont="1" applyFill="1" applyBorder="1" applyAlignment="1">
      <alignment horizontal="right" wrapText="1"/>
    </xf>
    <xf numFmtId="4" fontId="8" fillId="24" borderId="14" xfId="0" quotePrefix="1" applyNumberFormat="1" applyFont="1" applyFill="1" applyBorder="1" applyAlignment="1">
      <alignment horizontal="center" wrapText="1"/>
    </xf>
    <xf numFmtId="164" fontId="8" fillId="0" borderId="12" xfId="0" applyNumberFormat="1" applyFont="1" applyFill="1" applyBorder="1" applyAlignment="1">
      <alignment horizontal="right" wrapText="1"/>
    </xf>
    <xf numFmtId="165" fontId="4" fillId="24" borderId="36" xfId="0" applyNumberFormat="1" applyFont="1" applyFill="1" applyBorder="1" applyAlignment="1">
      <alignment horizontal="right"/>
    </xf>
    <xf numFmtId="164" fontId="31" fillId="0" borderId="45" xfId="35" applyNumberFormat="1" applyFont="1" applyFill="1" applyBorder="1"/>
    <xf numFmtId="0" fontId="8" fillId="24" borderId="10" xfId="0" applyFont="1" applyFill="1" applyBorder="1" applyAlignment="1">
      <alignment wrapText="1"/>
    </xf>
    <xf numFmtId="165" fontId="4" fillId="0" borderId="51" xfId="0" applyNumberFormat="1" applyFont="1" applyFill="1" applyBorder="1"/>
    <xf numFmtId="165" fontId="4" fillId="0" borderId="25" xfId="0" applyNumberFormat="1" applyFont="1" applyFill="1" applyBorder="1"/>
    <xf numFmtId="165" fontId="4" fillId="0" borderId="50" xfId="0" applyNumberFormat="1" applyFont="1" applyFill="1" applyBorder="1"/>
    <xf numFmtId="4" fontId="4" fillId="0" borderId="58" xfId="0" applyNumberFormat="1" applyFont="1" applyFill="1" applyBorder="1"/>
    <xf numFmtId="4" fontId="4" fillId="0" borderId="55" xfId="0" applyNumberFormat="1" applyFont="1" applyFill="1" applyBorder="1"/>
    <xf numFmtId="166" fontId="4" fillId="0" borderId="50" xfId="0" applyNumberFormat="1" applyFont="1" applyFill="1" applyBorder="1"/>
    <xf numFmtId="166" fontId="4" fillId="0" borderId="31" xfId="0" applyNumberFormat="1" applyFont="1" applyFill="1" applyBorder="1"/>
    <xf numFmtId="166" fontId="4" fillId="0" borderId="52" xfId="0" applyNumberFormat="1" applyFont="1" applyFill="1" applyBorder="1"/>
    <xf numFmtId="166" fontId="4" fillId="0" borderId="35" xfId="0" applyNumberFormat="1" applyFont="1" applyFill="1" applyBorder="1"/>
    <xf numFmtId="164" fontId="8" fillId="24" borderId="23" xfId="0" applyNumberFormat="1" applyFont="1" applyFill="1" applyBorder="1" applyAlignment="1">
      <alignment horizontal="right" wrapText="1"/>
    </xf>
    <xf numFmtId="164" fontId="4" fillId="0" borderId="80" xfId="0" applyNumberFormat="1" applyFont="1" applyFill="1" applyBorder="1" applyAlignment="1">
      <alignment horizontal="right" wrapText="1"/>
    </xf>
    <xf numFmtId="164" fontId="4" fillId="24" borderId="80" xfId="0" applyNumberFormat="1" applyFont="1" applyFill="1" applyBorder="1" applyAlignment="1">
      <alignment horizontal="right" wrapText="1"/>
    </xf>
    <xf numFmtId="164" fontId="4" fillId="24" borderId="81" xfId="0" applyNumberFormat="1" applyFont="1" applyFill="1" applyBorder="1" applyAlignment="1">
      <alignment horizontal="right" wrapText="1"/>
    </xf>
    <xf numFmtId="164" fontId="8" fillId="24" borderId="80" xfId="0" applyNumberFormat="1" applyFont="1" applyFill="1" applyBorder="1" applyAlignment="1">
      <alignment horizontal="right" wrapText="1"/>
    </xf>
    <xf numFmtId="164" fontId="4" fillId="24" borderId="19" xfId="0" applyNumberFormat="1" applyFont="1" applyFill="1" applyBorder="1" applyAlignment="1">
      <alignment horizontal="right" wrapText="1"/>
    </xf>
    <xf numFmtId="164" fontId="8" fillId="24" borderId="21" xfId="0" applyNumberFormat="1" applyFont="1" applyFill="1" applyBorder="1" applyAlignment="1">
      <alignment horizontal="right" wrapText="1"/>
    </xf>
    <xf numFmtId="164" fontId="8" fillId="0" borderId="53" xfId="0" applyNumberFormat="1" applyFont="1" applyFill="1" applyBorder="1" applyAlignment="1">
      <alignment horizontal="right" wrapText="1"/>
    </xf>
    <xf numFmtId="164" fontId="8" fillId="0" borderId="37" xfId="0" applyNumberFormat="1" applyFont="1" applyFill="1" applyBorder="1" applyAlignment="1">
      <alignment horizontal="right" wrapText="1"/>
    </xf>
    <xf numFmtId="164" fontId="8" fillId="0" borderId="51" xfId="0" applyNumberFormat="1" applyFont="1" applyFill="1" applyBorder="1" applyAlignment="1">
      <alignment horizontal="right" wrapText="1"/>
    </xf>
    <xf numFmtId="164" fontId="4" fillId="0" borderId="51" xfId="0" applyNumberFormat="1" applyFont="1" applyFill="1" applyBorder="1" applyAlignment="1">
      <alignment horizontal="right" wrapText="1"/>
    </xf>
    <xf numFmtId="164" fontId="4" fillId="0" borderId="59" xfId="0" applyNumberFormat="1" applyFont="1" applyFill="1" applyBorder="1" applyAlignment="1">
      <alignment horizontal="right" wrapText="1"/>
    </xf>
    <xf numFmtId="164" fontId="8" fillId="0" borderId="59" xfId="0" applyNumberFormat="1" applyFont="1" applyFill="1" applyBorder="1" applyAlignment="1">
      <alignment horizontal="right" wrapText="1"/>
    </xf>
    <xf numFmtId="164" fontId="8" fillId="0" borderId="13" xfId="0" applyNumberFormat="1" applyFont="1" applyFill="1" applyBorder="1" applyAlignment="1">
      <alignment horizontal="right" wrapText="1"/>
    </xf>
    <xf numFmtId="164" fontId="8" fillId="24" borderId="53" xfId="0" applyNumberFormat="1" applyFont="1" applyFill="1" applyBorder="1" applyAlignment="1">
      <alignment horizontal="right" wrapText="1"/>
    </xf>
    <xf numFmtId="164" fontId="8" fillId="24" borderId="51" xfId="0" applyNumberFormat="1" applyFont="1" applyFill="1" applyBorder="1" applyAlignment="1">
      <alignment horizontal="right" wrapText="1"/>
    </xf>
    <xf numFmtId="164" fontId="4" fillId="24" borderId="51" xfId="0" applyNumberFormat="1" applyFont="1" applyFill="1" applyBorder="1" applyAlignment="1">
      <alignment horizontal="right" wrapText="1"/>
    </xf>
    <xf numFmtId="164" fontId="4" fillId="24" borderId="59" xfId="0" applyNumberFormat="1" applyFont="1" applyFill="1" applyBorder="1" applyAlignment="1">
      <alignment horizontal="right" wrapText="1"/>
    </xf>
    <xf numFmtId="164" fontId="8" fillId="24" borderId="59" xfId="0" applyNumberFormat="1" applyFont="1" applyFill="1" applyBorder="1" applyAlignment="1">
      <alignment horizontal="right" wrapText="1"/>
    </xf>
    <xf numFmtId="164" fontId="8" fillId="24" borderId="13" xfId="0" applyNumberFormat="1" applyFont="1" applyFill="1" applyBorder="1" applyAlignment="1">
      <alignment horizontal="right" wrapText="1"/>
    </xf>
    <xf numFmtId="165" fontId="4" fillId="24" borderId="82" xfId="0" applyNumberFormat="1" applyFont="1" applyFill="1" applyBorder="1"/>
    <xf numFmtId="165" fontId="4" fillId="0" borderId="96" xfId="0" applyNumberFormat="1" applyFont="1" applyBorder="1"/>
    <xf numFmtId="4" fontId="4" fillId="24" borderId="84" xfId="0" applyNumberFormat="1" applyFont="1" applyFill="1" applyBorder="1"/>
    <xf numFmtId="4" fontId="4" fillId="24" borderId="86" xfId="0" applyNumberFormat="1" applyFont="1" applyFill="1" applyBorder="1"/>
    <xf numFmtId="166" fontId="4" fillId="24" borderId="93" xfId="0" applyNumberFormat="1" applyFont="1" applyFill="1" applyBorder="1"/>
    <xf numFmtId="165" fontId="4" fillId="24" borderId="94" xfId="0" applyNumberFormat="1" applyFont="1" applyFill="1" applyBorder="1"/>
    <xf numFmtId="165" fontId="4" fillId="24" borderId="96" xfId="0" applyNumberFormat="1" applyFont="1" applyFill="1" applyBorder="1"/>
    <xf numFmtId="166" fontId="4" fillId="24" borderId="52" xfId="0" applyNumberFormat="1" applyFont="1" applyFill="1" applyBorder="1"/>
    <xf numFmtId="4" fontId="4" fillId="0" borderId="18" xfId="138" applyNumberFormat="1" applyFont="1" applyFill="1" applyBorder="1" applyAlignment="1">
      <alignment horizontal="right" vertical="top"/>
    </xf>
    <xf numFmtId="165" fontId="4" fillId="24" borderId="51" xfId="0" applyNumberFormat="1" applyFont="1" applyFill="1" applyBorder="1"/>
    <xf numFmtId="165" fontId="4" fillId="24" borderId="25" xfId="0" applyNumberFormat="1" applyFont="1" applyFill="1" applyBorder="1"/>
    <xf numFmtId="165" fontId="4" fillId="0" borderId="18" xfId="0" applyNumberFormat="1" applyFont="1" applyBorder="1"/>
    <xf numFmtId="4" fontId="4" fillId="24" borderId="58" xfId="0" applyNumberFormat="1" applyFont="1" applyFill="1" applyBorder="1"/>
    <xf numFmtId="166" fontId="4" fillId="24" borderId="50" xfId="0" applyNumberFormat="1" applyFont="1" applyFill="1" applyBorder="1"/>
    <xf numFmtId="166" fontId="4" fillId="24" borderId="31" xfId="0" applyNumberFormat="1" applyFont="1" applyFill="1" applyBorder="1"/>
    <xf numFmtId="166" fontId="4" fillId="0" borderId="35" xfId="0" applyNumberFormat="1" applyFont="1" applyBorder="1"/>
    <xf numFmtId="4" fontId="68" fillId="0" borderId="0" xfId="0" applyNumberFormat="1" applyFont="1"/>
    <xf numFmtId="165" fontId="4" fillId="0" borderId="96" xfId="0" quotePrefix="1" applyNumberFormat="1" applyFont="1" applyBorder="1"/>
    <xf numFmtId="165" fontId="4" fillId="24" borderId="31" xfId="0" applyNumberFormat="1" applyFont="1" applyFill="1" applyBorder="1"/>
    <xf numFmtId="165" fontId="4" fillId="24" borderId="36" xfId="0" applyNumberFormat="1" applyFont="1" applyFill="1" applyBorder="1"/>
    <xf numFmtId="165" fontId="4" fillId="0" borderId="31" xfId="0" applyNumberFormat="1" applyFont="1" applyBorder="1"/>
    <xf numFmtId="0" fontId="4" fillId="24" borderId="26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0" fontId="4" fillId="24" borderId="32" xfId="0" applyFont="1" applyFill="1" applyBorder="1" applyAlignment="1">
      <alignment horizontal="center"/>
    </xf>
    <xf numFmtId="0" fontId="4" fillId="24" borderId="20" xfId="0" applyFont="1" applyFill="1" applyBorder="1" applyAlignment="1">
      <alignment horizontal="center"/>
    </xf>
    <xf numFmtId="165" fontId="4" fillId="24" borderId="35" xfId="0" applyNumberFormat="1" applyFont="1" applyFill="1" applyBorder="1"/>
    <xf numFmtId="166" fontId="4" fillId="24" borderId="96" xfId="0" applyNumberFormat="1" applyFont="1" applyFill="1" applyBorder="1"/>
    <xf numFmtId="4" fontId="4" fillId="24" borderId="82" xfId="0" applyNumberFormat="1" applyFont="1" applyFill="1" applyBorder="1"/>
    <xf numFmtId="164" fontId="8" fillId="24" borderId="14" xfId="0" applyNumberFormat="1" applyFont="1" applyFill="1" applyBorder="1" applyAlignment="1">
      <alignment horizontal="right" wrapText="1"/>
    </xf>
    <xf numFmtId="164" fontId="8" fillId="0" borderId="80" xfId="0" applyNumberFormat="1" applyFont="1" applyFill="1" applyBorder="1" applyAlignment="1">
      <alignment horizontal="right" wrapText="1"/>
    </xf>
    <xf numFmtId="164" fontId="4" fillId="0" borderId="81" xfId="0" applyNumberFormat="1" applyFont="1" applyFill="1" applyBorder="1" applyAlignment="1">
      <alignment horizontal="right" wrapText="1"/>
    </xf>
    <xf numFmtId="164" fontId="8" fillId="24" borderId="81" xfId="0" applyNumberFormat="1" applyFont="1" applyFill="1" applyBorder="1" applyAlignment="1">
      <alignment horizontal="right" wrapText="1"/>
    </xf>
    <xf numFmtId="4" fontId="4" fillId="0" borderId="18" xfId="138" applyNumberFormat="1" applyFont="1" applyFill="1" applyBorder="1" applyAlignment="1">
      <alignment vertical="top"/>
    </xf>
    <xf numFmtId="166" fontId="4" fillId="24" borderId="35" xfId="0" applyNumberFormat="1" applyFont="1" applyFill="1" applyBorder="1"/>
    <xf numFmtId="4" fontId="69" fillId="0" borderId="18" xfId="133" applyNumberFormat="1" applyFont="1" applyFill="1" applyBorder="1"/>
    <xf numFmtId="10" fontId="4" fillId="24" borderId="93" xfId="37" applyNumberFormat="1" applyFont="1" applyFill="1" applyBorder="1"/>
    <xf numFmtId="165" fontId="4" fillId="0" borderId="31" xfId="122" applyNumberFormat="1" applyFont="1" applyFill="1" applyBorder="1" applyAlignment="1">
      <alignment horizontal="right" vertical="top"/>
    </xf>
    <xf numFmtId="165" fontId="4" fillId="0" borderId="35" xfId="122" applyNumberFormat="1" applyFont="1" applyFill="1" applyBorder="1" applyAlignment="1">
      <alignment horizontal="right" vertical="top"/>
    </xf>
    <xf numFmtId="165" fontId="4" fillId="0" borderId="31" xfId="122" applyNumberFormat="1" applyFont="1" applyBorder="1" applyAlignment="1">
      <alignment horizontal="right" vertical="top"/>
    </xf>
    <xf numFmtId="165" fontId="4" fillId="0" borderId="35" xfId="122" applyNumberFormat="1" applyFont="1" applyBorder="1" applyAlignment="1">
      <alignment horizontal="right" vertical="top"/>
    </xf>
    <xf numFmtId="165" fontId="4" fillId="0" borderId="85" xfId="122" applyNumberFormat="1" applyFont="1" applyBorder="1" applyAlignment="1">
      <alignment horizontal="right" vertical="top"/>
    </xf>
    <xf numFmtId="165" fontId="4" fillId="24" borderId="85" xfId="0" applyNumberFormat="1" applyFont="1" applyFill="1" applyBorder="1"/>
    <xf numFmtId="166" fontId="4" fillId="24" borderId="86" xfId="0" applyNumberFormat="1" applyFont="1" applyFill="1" applyBorder="1"/>
    <xf numFmtId="165" fontId="4" fillId="0" borderId="49" xfId="122" applyNumberFormat="1" applyFont="1" applyBorder="1" applyAlignment="1">
      <alignment horizontal="right" vertical="top"/>
    </xf>
    <xf numFmtId="165" fontId="4" fillId="24" borderId="83" xfId="0" applyNumberFormat="1" applyFont="1" applyFill="1" applyBorder="1"/>
    <xf numFmtId="165" fontId="4" fillId="0" borderId="94" xfId="122" applyNumberFormat="1" applyFont="1" applyBorder="1" applyAlignment="1">
      <alignment horizontal="right" vertical="top"/>
    </xf>
    <xf numFmtId="165" fontId="4" fillId="0" borderId="95" xfId="122" applyNumberFormat="1" applyFont="1" applyBorder="1" applyAlignment="1">
      <alignment horizontal="right" vertical="top"/>
    </xf>
    <xf numFmtId="165" fontId="4" fillId="24" borderId="45" xfId="0" applyNumberFormat="1" applyFont="1" applyFill="1" applyBorder="1"/>
    <xf numFmtId="165" fontId="4" fillId="0" borderId="36" xfId="122" applyNumberFormat="1" applyFont="1" applyBorder="1" applyAlignment="1">
      <alignment horizontal="right" vertical="top"/>
    </xf>
    <xf numFmtId="165" fontId="4" fillId="0" borderId="85" xfId="122" applyNumberFormat="1" applyFont="1" applyFill="1" applyBorder="1" applyAlignment="1">
      <alignment horizontal="right" vertical="top"/>
    </xf>
    <xf numFmtId="165" fontId="4" fillId="0" borderId="85" xfId="0" applyNumberFormat="1" applyFont="1" applyFill="1" applyBorder="1"/>
    <xf numFmtId="166" fontId="4" fillId="0" borderId="86" xfId="0" applyNumberFormat="1" applyFont="1" applyFill="1" applyBorder="1"/>
    <xf numFmtId="165" fontId="4" fillId="0" borderId="45" xfId="122" applyNumberFormat="1" applyFont="1" applyBorder="1" applyAlignment="1">
      <alignment horizontal="right" vertical="top"/>
    </xf>
    <xf numFmtId="165" fontId="4" fillId="24" borderId="51" xfId="0" applyNumberFormat="1" applyFont="1" applyFill="1" applyBorder="1" applyAlignment="1">
      <alignment horizontal="right"/>
    </xf>
    <xf numFmtId="166" fontId="4" fillId="24" borderId="52" xfId="0" applyNumberFormat="1" applyFont="1" applyFill="1" applyBorder="1" applyAlignment="1">
      <alignment horizontal="right"/>
    </xf>
    <xf numFmtId="168" fontId="4" fillId="0" borderId="25" xfId="0" applyNumberFormat="1" applyFont="1" applyFill="1" applyBorder="1" applyAlignment="1">
      <alignment horizontal="right" wrapText="1"/>
    </xf>
    <xf numFmtId="165" fontId="4" fillId="0" borderId="81" xfId="0" applyNumberFormat="1" applyFont="1" applyBorder="1"/>
    <xf numFmtId="165" fontId="4" fillId="0" borderId="84" xfId="0" applyNumberFormat="1" applyFont="1" applyBorder="1"/>
    <xf numFmtId="165" fontId="4" fillId="0" borderId="19" xfId="0" applyNumberFormat="1" applyFont="1" applyBorder="1"/>
    <xf numFmtId="165" fontId="4" fillId="24" borderId="50" xfId="0" applyNumberFormat="1" applyFont="1" applyFill="1" applyBorder="1" applyAlignment="1">
      <alignment horizontal="right"/>
    </xf>
    <xf numFmtId="0" fontId="8" fillId="24" borderId="29" xfId="0" applyFont="1" applyFill="1" applyBorder="1" applyAlignment="1">
      <alignment horizontal="center" wrapText="1"/>
    </xf>
    <xf numFmtId="0" fontId="8" fillId="24" borderId="53" xfId="0" applyFont="1" applyFill="1" applyBorder="1" applyAlignment="1">
      <alignment horizontal="center" wrapText="1"/>
    </xf>
    <xf numFmtId="0" fontId="6" fillId="24" borderId="0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left"/>
    </xf>
    <xf numFmtId="0" fontId="35" fillId="24" borderId="0" xfId="0" applyFont="1" applyFill="1" applyBorder="1" applyAlignment="1">
      <alignment horizontal="left" vertical="center" wrapText="1"/>
    </xf>
    <xf numFmtId="0" fontId="6" fillId="24" borderId="47" xfId="0" applyFont="1" applyFill="1" applyBorder="1" applyAlignment="1">
      <alignment horizontal="center" wrapText="1"/>
    </xf>
    <xf numFmtId="0" fontId="6" fillId="24" borderId="0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 wrapText="1"/>
    </xf>
    <xf numFmtId="0" fontId="0" fillId="0" borderId="0" xfId="0" applyAlignment="1"/>
    <xf numFmtId="0" fontId="0" fillId="0" borderId="47" xfId="0" applyBorder="1" applyAlignment="1">
      <alignment horizontal="center" wrapText="1"/>
    </xf>
    <xf numFmtId="0" fontId="8" fillId="24" borderId="10" xfId="0" applyFont="1" applyFill="1" applyBorder="1" applyAlignment="1">
      <alignment wrapText="1"/>
    </xf>
    <xf numFmtId="0" fontId="8" fillId="24" borderId="11" xfId="0" applyFont="1" applyFill="1" applyBorder="1" applyAlignment="1">
      <alignment wrapText="1"/>
    </xf>
    <xf numFmtId="0" fontId="8" fillId="24" borderId="54" xfId="0" applyFont="1" applyFill="1" applyBorder="1" applyAlignment="1">
      <alignment wrapText="1"/>
    </xf>
    <xf numFmtId="0" fontId="8" fillId="24" borderId="56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47" xfId="0" applyFont="1" applyBorder="1" applyAlignment="1">
      <alignment wrapText="1"/>
    </xf>
    <xf numFmtId="0" fontId="4" fillId="0" borderId="0" xfId="0" applyFont="1" applyAlignment="1"/>
    <xf numFmtId="0" fontId="4" fillId="0" borderId="47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47" xfId="0" applyBorder="1" applyAlignment="1">
      <alignment wrapText="1"/>
    </xf>
    <xf numFmtId="0" fontId="8" fillId="24" borderId="10" xfId="0" applyFont="1" applyFill="1" applyBorder="1" applyAlignment="1">
      <alignment horizontal="center" wrapText="1"/>
    </xf>
    <xf numFmtId="0" fontId="8" fillId="24" borderId="13" xfId="0" applyFont="1" applyFill="1" applyBorder="1" applyAlignment="1">
      <alignment horizontal="center" wrapText="1"/>
    </xf>
    <xf numFmtId="0" fontId="8" fillId="24" borderId="13" xfId="0" applyFont="1" applyFill="1" applyBorder="1" applyAlignment="1">
      <alignment wrapText="1"/>
    </xf>
  </cellXfs>
  <cellStyles count="139">
    <cellStyle name="=D:\WINNT\SYSTEM32\COMMAND.COM" xfId="102"/>
    <cellStyle name="20% - Accent1" xfId="57"/>
    <cellStyle name="20% - Accent2" xfId="58"/>
    <cellStyle name="20% - Accent3" xfId="59"/>
    <cellStyle name="20% - Accent4" xfId="60"/>
    <cellStyle name="20% - Accent5" xfId="61"/>
    <cellStyle name="20% - Accent6" xfId="62"/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ccent1" xfId="75"/>
    <cellStyle name="Accent2" xfId="76"/>
    <cellStyle name="Accent3" xfId="77"/>
    <cellStyle name="Accent4" xfId="78"/>
    <cellStyle name="Accent5" xfId="79"/>
    <cellStyle name="Accent6" xfId="80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Bad" xfId="81"/>
    <cellStyle name="Calculation" xfId="82"/>
    <cellStyle name="Check Cell" xfId="83"/>
    <cellStyle name="Dane wejściowe" xfId="25" builtinId="20" customBuiltin="1"/>
    <cellStyle name="Dane wejściowe 2" xfId="49"/>
    <cellStyle name="Dane wejściowe 2 2" xfId="55"/>
    <cellStyle name="Dane wejściowe 2 2 2" xfId="103"/>
    <cellStyle name="Dane wejściowe 2 3" xfId="113"/>
    <cellStyle name="Dane wejściowe 3" xfId="118"/>
    <cellStyle name="Dane wyjściowe" xfId="26" builtinId="21" customBuiltin="1"/>
    <cellStyle name="Dane wyjściowe 2" xfId="48"/>
    <cellStyle name="Dane wyjściowe 2 2" xfId="54"/>
    <cellStyle name="Dane wyjściowe 2 2 2" xfId="104"/>
    <cellStyle name="Dane wyjściowe 2 3" xfId="114"/>
    <cellStyle name="Dane wyjściowe 3" xfId="109"/>
    <cellStyle name="Dobry" xfId="27" builtinId="26" customBuiltin="1"/>
    <cellStyle name="Dziesiętny 2" xfId="134"/>
    <cellStyle name="Explanatory Text" xfId="84"/>
    <cellStyle name="Good" xfId="85"/>
    <cellStyle name="Heading 1" xfId="86"/>
    <cellStyle name="Heading 2" xfId="87"/>
    <cellStyle name="Heading 3" xfId="88"/>
    <cellStyle name="Heading 4" xfId="89"/>
    <cellStyle name="Input" xfId="90"/>
    <cellStyle name="Komórka połączona" xfId="28" builtinId="24" customBuiltin="1"/>
    <cellStyle name="Komórka zaznaczona" xfId="29" builtinId="23" customBuiltin="1"/>
    <cellStyle name="Linked Cell" xfId="9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" xfId="92"/>
    <cellStyle name="Neutralny" xfId="34" builtinId="28" customBuiltin="1"/>
    <cellStyle name="Normal" xfId="136"/>
    <cellStyle name="Normalny" xfId="0" builtinId="0"/>
    <cellStyle name="Normalny 10" xfId="133"/>
    <cellStyle name="Normalny 2" xfId="44"/>
    <cellStyle name="Normalny 2 2" xfId="124"/>
    <cellStyle name="Normalny 2 2 2" xfId="131"/>
    <cellStyle name="Normalny 2 3" xfId="135"/>
    <cellStyle name="Normalny 2 4" xfId="129"/>
    <cellStyle name="Normalny 2_1.2" xfId="137"/>
    <cellStyle name="Normalny 3" xfId="50"/>
    <cellStyle name="Normalny 3 2" xfId="123"/>
    <cellStyle name="Normalny 3 3" xfId="132"/>
    <cellStyle name="Normalny 4" xfId="56"/>
    <cellStyle name="Normalny 4 2" xfId="112"/>
    <cellStyle name="Normalny 4 3" xfId="128"/>
    <cellStyle name="Normalny 5" xfId="98"/>
    <cellStyle name="Normalny 5 2" xfId="119"/>
    <cellStyle name="Normalny 50" xfId="130"/>
    <cellStyle name="Normalny 6" xfId="101"/>
    <cellStyle name="Normalny 7" xfId="121"/>
    <cellStyle name="Normalny 8" xfId="125"/>
    <cellStyle name="Normalny 9" xfId="127"/>
    <cellStyle name="Normalny_Arkusz1" xfId="35"/>
    <cellStyle name="Normalny_Arkusz1 2" xfId="122"/>
    <cellStyle name="Normalny_Arkusz1_1" xfId="138"/>
    <cellStyle name="Note" xfId="93"/>
    <cellStyle name="Note 2" xfId="99"/>
    <cellStyle name="Note 2 2" xfId="120"/>
    <cellStyle name="Note 3" xfId="100"/>
    <cellStyle name="Obliczenia" xfId="36" builtinId="22" customBuiltin="1"/>
    <cellStyle name="Obliczenia 2" xfId="47"/>
    <cellStyle name="Obliczenia 2 2" xfId="53"/>
    <cellStyle name="Obliczenia 2 2 2" xfId="105"/>
    <cellStyle name="Obliczenia 2 3" xfId="115"/>
    <cellStyle name="Obliczenia 3" xfId="117"/>
    <cellStyle name="Output" xfId="94"/>
    <cellStyle name="Procentowy" xfId="37" builtinId="5"/>
    <cellStyle name="Procentowy 2" xfId="126"/>
    <cellStyle name="Suma" xfId="38" builtinId="25" customBuiltin="1"/>
    <cellStyle name="Suma 2" xfId="46"/>
    <cellStyle name="Suma 2 2" xfId="52"/>
    <cellStyle name="Suma 2 2 2" xfId="106"/>
    <cellStyle name="Suma 2 3" xfId="108"/>
    <cellStyle name="Suma 3" xfId="116"/>
    <cellStyle name="Tekst objaśnienia" xfId="39" builtinId="53" customBuiltin="1"/>
    <cellStyle name="Tekst ostrzeżenia" xfId="40" builtinId="11" customBuiltin="1"/>
    <cellStyle name="Title" xfId="95"/>
    <cellStyle name="Total" xfId="96"/>
    <cellStyle name="Tytuł" xfId="41" builtinId="15" customBuiltin="1"/>
    <cellStyle name="Uwaga" xfId="42" builtinId="10" customBuiltin="1"/>
    <cellStyle name="Uwaga 2" xfId="45"/>
    <cellStyle name="Uwaga 2 2" xfId="51"/>
    <cellStyle name="Uwaga 2 2 2" xfId="107"/>
    <cellStyle name="Uwaga 2 3" xfId="111"/>
    <cellStyle name="Uwaga 3" xfId="110"/>
    <cellStyle name="Warning Text" xfId="97"/>
    <cellStyle name="Zły" xfId="43" builtinId="27" customBuiltin="1"/>
  </cellStyles>
  <dxfs count="0"/>
  <tableStyles count="0" defaultTableStyle="TableStyleMedium9" defaultPivotStyle="PivotStyleLight16"/>
  <colors>
    <mruColors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53" Type="http://schemas.openxmlformats.org/officeDocument/2006/relationships/worksheet" Target="worksheets/sheet15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R81"/>
  <sheetViews>
    <sheetView tabSelected="1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5.85546875" customWidth="1"/>
    <col min="15" max="15" width="16" bestFit="1" customWidth="1"/>
    <col min="17" max="17" width="16.140625" bestFit="1" customWidth="1"/>
    <col min="18" max="18" width="14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14.25">
      <c r="B5" s="353" t="s">
        <v>1</v>
      </c>
      <c r="C5" s="353"/>
      <c r="D5" s="353"/>
      <c r="E5" s="353"/>
    </row>
    <row r="6" spans="2:7" ht="14.25" customHeight="1">
      <c r="B6" s="354" t="s">
        <v>84</v>
      </c>
      <c r="C6" s="354"/>
      <c r="D6" s="354"/>
      <c r="E6" s="354"/>
    </row>
    <row r="7" spans="2:7" ht="14.25">
      <c r="B7" s="162"/>
      <c r="C7" s="162"/>
      <c r="D7" s="162"/>
      <c r="E7" s="162"/>
    </row>
    <row r="8" spans="2:7" ht="12.75" customHeight="1">
      <c r="B8" s="356" t="s">
        <v>18</v>
      </c>
      <c r="C8" s="356"/>
      <c r="D8" s="356"/>
      <c r="E8" s="356"/>
    </row>
    <row r="9" spans="2:7" ht="15.75" customHeight="1" thickBot="1">
      <c r="B9" s="355" t="s">
        <v>103</v>
      </c>
      <c r="C9" s="355"/>
      <c r="D9" s="355"/>
      <c r="E9" s="355"/>
    </row>
    <row r="10" spans="2:7" ht="13.5" thickBot="1">
      <c r="B10" s="163"/>
      <c r="C10" s="73" t="s">
        <v>2</v>
      </c>
      <c r="D10" s="230" t="s">
        <v>255</v>
      </c>
      <c r="E10" s="229" t="s">
        <v>260</v>
      </c>
    </row>
    <row r="11" spans="2:7">
      <c r="B11" s="87" t="s">
        <v>3</v>
      </c>
      <c r="C11" s="187" t="s">
        <v>109</v>
      </c>
      <c r="D11" s="270">
        <f>SUM(D12:D14)</f>
        <v>141611549.37</v>
      </c>
      <c r="E11" s="211">
        <f>SUM(E12:E14)</f>
        <v>135205528.09000003</v>
      </c>
    </row>
    <row r="12" spans="2:7">
      <c r="B12" s="103" t="s">
        <v>4</v>
      </c>
      <c r="C12" s="67" t="s">
        <v>5</v>
      </c>
      <c r="D12" s="271">
        <f>146224580+2986736.46-7599767.09</f>
        <v>141611549.37</v>
      </c>
      <c r="E12" s="216">
        <f>140481818.86+1919322.15-7195899.69</f>
        <v>135205241.32000002</v>
      </c>
    </row>
    <row r="13" spans="2:7" ht="12.75" customHeight="1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>
        <v>286.77</v>
      </c>
    </row>
    <row r="15" spans="2:7">
      <c r="B15" s="103" t="s">
        <v>106</v>
      </c>
      <c r="C15" s="67" t="s">
        <v>11</v>
      </c>
      <c r="D15" s="272"/>
      <c r="E15" s="217">
        <v>286.77</v>
      </c>
    </row>
    <row r="16" spans="2:7">
      <c r="B16" s="104" t="s">
        <v>107</v>
      </c>
      <c r="C16" s="88" t="s">
        <v>12</v>
      </c>
      <c r="D16" s="273"/>
      <c r="E16" s="218"/>
    </row>
    <row r="17" spans="2:7">
      <c r="B17" s="9" t="s">
        <v>13</v>
      </c>
      <c r="C17" s="199" t="s">
        <v>65</v>
      </c>
      <c r="D17" s="274">
        <f>D18</f>
        <v>88639.72</v>
      </c>
      <c r="E17" s="219">
        <f>E18</f>
        <v>142222.34</v>
      </c>
    </row>
    <row r="18" spans="2:7">
      <c r="B18" s="103" t="s">
        <v>4</v>
      </c>
      <c r="C18" s="67" t="s">
        <v>11</v>
      </c>
      <c r="D18" s="273">
        <v>88639.72</v>
      </c>
      <c r="E18" s="218">
        <v>142222.34</v>
      </c>
    </row>
    <row r="19" spans="2:7" ht="15" customHeight="1">
      <c r="B19" s="103" t="s">
        <v>6</v>
      </c>
      <c r="C19" s="67" t="s">
        <v>108</v>
      </c>
      <c r="D19" s="272"/>
      <c r="E19" s="217"/>
    </row>
    <row r="20" spans="2:7" ht="13.5" thickBot="1">
      <c r="B20" s="105" t="s">
        <v>8</v>
      </c>
      <c r="C20" s="68" t="s">
        <v>14</v>
      </c>
      <c r="D20" s="275"/>
      <c r="E20" s="212"/>
    </row>
    <row r="21" spans="2:7" ht="13.5" customHeight="1" thickBot="1">
      <c r="B21" s="360" t="s">
        <v>110</v>
      </c>
      <c r="C21" s="361"/>
      <c r="D21" s="276">
        <f>D11-D17</f>
        <v>141522909.65000001</v>
      </c>
      <c r="E21" s="145">
        <f>E11-E17</f>
        <v>135063305.75000003</v>
      </c>
      <c r="F21" s="74"/>
    </row>
    <row r="22" spans="2:7">
      <c r="B22" s="3"/>
      <c r="C22" s="7"/>
      <c r="D22" s="8"/>
      <c r="E22" s="250"/>
    </row>
    <row r="23" spans="2:7" ht="14.25" customHeight="1">
      <c r="B23" s="356" t="s">
        <v>104</v>
      </c>
      <c r="C23" s="356"/>
      <c r="D23" s="356"/>
      <c r="E23" s="356"/>
    </row>
    <row r="24" spans="2:7" ht="16.5" customHeight="1" thickBot="1">
      <c r="B24" s="355" t="s">
        <v>105</v>
      </c>
      <c r="C24" s="355"/>
      <c r="D24" s="355"/>
      <c r="E24" s="355"/>
    </row>
    <row r="25" spans="2:7" ht="13.5" thickBot="1">
      <c r="B25" s="163"/>
      <c r="C25" s="5" t="s">
        <v>2</v>
      </c>
      <c r="D25" s="230" t="s">
        <v>262</v>
      </c>
      <c r="E25" s="229" t="s">
        <v>260</v>
      </c>
    </row>
    <row r="26" spans="2:7">
      <c r="B26" s="92" t="s">
        <v>15</v>
      </c>
      <c r="C26" s="93" t="s">
        <v>16</v>
      </c>
      <c r="D26" s="277">
        <v>156369794.63999999</v>
      </c>
      <c r="E26" s="278">
        <f>D21</f>
        <v>141522909.65000001</v>
      </c>
      <c r="F26" s="153"/>
    </row>
    <row r="27" spans="2:7">
      <c r="B27" s="232" t="s">
        <v>17</v>
      </c>
      <c r="C27" s="233" t="s">
        <v>111</v>
      </c>
      <c r="D27" s="279">
        <v>-8115898.4099999983</v>
      </c>
      <c r="E27" s="240">
        <v>-5587180.6199999992</v>
      </c>
      <c r="F27" s="154"/>
      <c r="G27" s="66"/>
    </row>
    <row r="28" spans="2:7">
      <c r="B28" s="232" t="s">
        <v>18</v>
      </c>
      <c r="C28" s="233" t="s">
        <v>19</v>
      </c>
      <c r="D28" s="279">
        <v>3053803.0500000003</v>
      </c>
      <c r="E28" s="241">
        <v>2416293.2100000004</v>
      </c>
      <c r="F28" s="154"/>
    </row>
    <row r="29" spans="2:7">
      <c r="B29" s="234" t="s">
        <v>4</v>
      </c>
      <c r="C29" s="235" t="s">
        <v>20</v>
      </c>
      <c r="D29" s="280">
        <v>1180507.8400000001</v>
      </c>
      <c r="E29" s="242">
        <v>1105279.79</v>
      </c>
      <c r="F29" s="154"/>
    </row>
    <row r="30" spans="2:7">
      <c r="B30" s="234" t="s">
        <v>6</v>
      </c>
      <c r="C30" s="235" t="s">
        <v>21</v>
      </c>
      <c r="D30" s="280"/>
      <c r="E30" s="242"/>
      <c r="F30" s="154"/>
    </row>
    <row r="31" spans="2:7">
      <c r="B31" s="234" t="s">
        <v>8</v>
      </c>
      <c r="C31" s="235" t="s">
        <v>22</v>
      </c>
      <c r="D31" s="280">
        <v>1873295.21</v>
      </c>
      <c r="E31" s="242">
        <v>1311013.42</v>
      </c>
      <c r="F31" s="154"/>
    </row>
    <row r="32" spans="2:7">
      <c r="B32" s="236" t="s">
        <v>23</v>
      </c>
      <c r="C32" s="237" t="s">
        <v>24</v>
      </c>
      <c r="D32" s="279">
        <v>11169701.459999999</v>
      </c>
      <c r="E32" s="241">
        <v>8003473.8300000001</v>
      </c>
      <c r="F32" s="154"/>
    </row>
    <row r="33" spans="2:18">
      <c r="B33" s="234" t="s">
        <v>4</v>
      </c>
      <c r="C33" s="235" t="s">
        <v>25</v>
      </c>
      <c r="D33" s="280">
        <v>9793857.4199999999</v>
      </c>
      <c r="E33" s="242">
        <v>7213567.8599999994</v>
      </c>
      <c r="F33" s="154"/>
    </row>
    <row r="34" spans="2:18">
      <c r="B34" s="234" t="s">
        <v>6</v>
      </c>
      <c r="C34" s="235" t="s">
        <v>26</v>
      </c>
      <c r="D34" s="280"/>
      <c r="E34" s="242"/>
      <c r="F34" s="154"/>
    </row>
    <row r="35" spans="2:18">
      <c r="B35" s="234" t="s">
        <v>8</v>
      </c>
      <c r="C35" s="235" t="s">
        <v>27</v>
      </c>
      <c r="D35" s="280">
        <v>653269.35</v>
      </c>
      <c r="E35" s="242">
        <v>533758.57000000007</v>
      </c>
      <c r="F35" s="154"/>
    </row>
    <row r="36" spans="2:18">
      <c r="B36" s="234" t="s">
        <v>9</v>
      </c>
      <c r="C36" s="235" t="s">
        <v>28</v>
      </c>
      <c r="D36" s="280"/>
      <c r="E36" s="242"/>
      <c r="F36" s="154"/>
    </row>
    <row r="37" spans="2:18" ht="25.5">
      <c r="B37" s="234" t="s">
        <v>29</v>
      </c>
      <c r="C37" s="235" t="s">
        <v>30</v>
      </c>
      <c r="D37" s="280"/>
      <c r="E37" s="242"/>
      <c r="F37" s="154"/>
      <c r="O37" s="220">
        <f>177697141.37/22.3484</f>
        <v>7951224.3100177189</v>
      </c>
    </row>
    <row r="38" spans="2:18">
      <c r="B38" s="234" t="s">
        <v>31</v>
      </c>
      <c r="C38" s="235" t="s">
        <v>32</v>
      </c>
      <c r="D38" s="280"/>
      <c r="E38" s="242"/>
      <c r="F38" s="154"/>
      <c r="O38" s="186">
        <f>15680789.11/25.1598</f>
        <v>623247.76468811359</v>
      </c>
    </row>
    <row r="39" spans="2:18">
      <c r="B39" s="238" t="s">
        <v>33</v>
      </c>
      <c r="C39" s="239" t="s">
        <v>34</v>
      </c>
      <c r="D39" s="281">
        <v>722574.69</v>
      </c>
      <c r="E39" s="243">
        <v>256147.4</v>
      </c>
      <c r="F39" s="154"/>
      <c r="O39" s="70">
        <f>SUM(O37:O38)</f>
        <v>8574472.0747058317</v>
      </c>
      <c r="Q39" s="66">
        <f>E21/22.3484</f>
        <v>6043533.575110523</v>
      </c>
      <c r="R39" s="66">
        <f>Q39-O39</f>
        <v>-2530938.4995953087</v>
      </c>
    </row>
    <row r="40" spans="2:18" ht="13.5" thickBot="1">
      <c r="B40" s="94" t="s">
        <v>35</v>
      </c>
      <c r="C40" s="95" t="s">
        <v>36</v>
      </c>
      <c r="D40" s="282">
        <v>65851.55</v>
      </c>
      <c r="E40" s="244">
        <v>-872423.28</v>
      </c>
      <c r="F40" s="153"/>
    </row>
    <row r="41" spans="2:18" ht="13.5" thickBot="1">
      <c r="B41" s="96" t="s">
        <v>37</v>
      </c>
      <c r="C41" s="97" t="s">
        <v>38</v>
      </c>
      <c r="D41" s="283">
        <v>148319747.78</v>
      </c>
      <c r="E41" s="257">
        <f>E26+E27+E40</f>
        <v>135063305.75</v>
      </c>
      <c r="F41" s="155"/>
    </row>
    <row r="42" spans="2:18" ht="13.5" customHeight="1">
      <c r="B42" s="90"/>
      <c r="C42" s="90"/>
      <c r="D42" s="91"/>
      <c r="E42" s="91"/>
      <c r="F42" s="74"/>
    </row>
    <row r="43" spans="2:18" ht="13.5">
      <c r="B43" s="357" t="s">
        <v>60</v>
      </c>
      <c r="C43" s="358"/>
      <c r="D43" s="358"/>
      <c r="E43" s="358"/>
    </row>
    <row r="44" spans="2:18" ht="19.5" customHeight="1" thickBot="1">
      <c r="B44" s="355" t="s">
        <v>121</v>
      </c>
      <c r="C44" s="359"/>
      <c r="D44" s="359"/>
      <c r="E44" s="359"/>
    </row>
    <row r="45" spans="2:18" ht="13.5" thickBot="1">
      <c r="B45" s="4"/>
      <c r="C45" s="29" t="s">
        <v>39</v>
      </c>
      <c r="D45" s="230" t="s">
        <v>262</v>
      </c>
      <c r="E45" s="229" t="s">
        <v>260</v>
      </c>
    </row>
    <row r="46" spans="2:18">
      <c r="B46" s="13" t="s">
        <v>18</v>
      </c>
      <c r="C46" s="30" t="s">
        <v>112</v>
      </c>
      <c r="D46" s="156"/>
      <c r="E46" s="157"/>
    </row>
    <row r="47" spans="2:18">
      <c r="B47" s="99" t="s">
        <v>4</v>
      </c>
      <c r="C47" s="15" t="s">
        <v>40</v>
      </c>
      <c r="D47" s="261">
        <v>6977385.5436999993</v>
      </c>
      <c r="E47" s="262">
        <v>6301063.338800001</v>
      </c>
    </row>
    <row r="48" spans="2:18">
      <c r="B48" s="120" t="s">
        <v>6</v>
      </c>
      <c r="C48" s="22" t="s">
        <v>41</v>
      </c>
      <c r="D48" s="261">
        <v>6615440.7533999998</v>
      </c>
      <c r="E48" s="263">
        <v>6049943.0983999996</v>
      </c>
    </row>
    <row r="49" spans="2:5">
      <c r="B49" s="117" t="s">
        <v>23</v>
      </c>
      <c r="C49" s="121" t="s">
        <v>113</v>
      </c>
      <c r="D49" s="264"/>
      <c r="E49" s="265"/>
    </row>
    <row r="50" spans="2:5">
      <c r="B50" s="99" t="s">
        <v>4</v>
      </c>
      <c r="C50" s="15" t="s">
        <v>40</v>
      </c>
      <c r="D50" s="261">
        <v>22.410900000000002</v>
      </c>
      <c r="E50" s="266">
        <v>22.4602</v>
      </c>
    </row>
    <row r="51" spans="2:5">
      <c r="B51" s="99" t="s">
        <v>6</v>
      </c>
      <c r="C51" s="15" t="s">
        <v>114</v>
      </c>
      <c r="D51" s="261">
        <v>22.377099999999999</v>
      </c>
      <c r="E51" s="267">
        <v>22.280899999999999</v>
      </c>
    </row>
    <row r="52" spans="2:5">
      <c r="B52" s="99" t="s">
        <v>8</v>
      </c>
      <c r="C52" s="15" t="s">
        <v>115</v>
      </c>
      <c r="D52" s="261">
        <v>22.439599999999999</v>
      </c>
      <c r="E52" s="267">
        <v>22.490500000000001</v>
      </c>
    </row>
    <row r="53" spans="2:5" ht="13.5" thickBot="1">
      <c r="B53" s="100" t="s">
        <v>9</v>
      </c>
      <c r="C53" s="17" t="s">
        <v>41</v>
      </c>
      <c r="D53" s="268">
        <v>22.420200000000001</v>
      </c>
      <c r="E53" s="269">
        <v>22.3247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D59+D61+D69+D66</f>
        <v>135205241.32000002</v>
      </c>
      <c r="E58" s="31">
        <f>D58/E21</f>
        <v>1.0010508818010326</v>
      </c>
    </row>
    <row r="59" spans="2:5" ht="25.5">
      <c r="B59" s="120" t="s">
        <v>4</v>
      </c>
      <c r="C59" s="22" t="s">
        <v>44</v>
      </c>
      <c r="D59" s="77">
        <v>120229201.43000001</v>
      </c>
      <c r="E59" s="78">
        <f>D59/E21</f>
        <v>0.89016924887461513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79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v>0</v>
      </c>
      <c r="E64" s="78">
        <v>0</v>
      </c>
    </row>
    <row r="65" spans="2:5" ht="13.5" customHeight="1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13056717.74</v>
      </c>
      <c r="E66" s="78">
        <f>D66/E21</f>
        <v>9.6671095583635208E-2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52">
        <v>1919322.15</v>
      </c>
      <c r="E69" s="76">
        <f>D69/E21</f>
        <v>1.4210537342782308E-2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0</v>
      </c>
      <c r="E71" s="65">
        <f>D71/E21</f>
        <v>0</v>
      </c>
    </row>
    <row r="72" spans="2:5">
      <c r="B72" s="128" t="s">
        <v>60</v>
      </c>
      <c r="C72" s="114" t="s">
        <v>63</v>
      </c>
      <c r="D72" s="115">
        <f>E14</f>
        <v>286.77</v>
      </c>
      <c r="E72" s="116">
        <f>D72/E21</f>
        <v>2.1232265744391492E-6</v>
      </c>
    </row>
    <row r="73" spans="2:5">
      <c r="B73" s="129" t="s">
        <v>62</v>
      </c>
      <c r="C73" s="24" t="s">
        <v>65</v>
      </c>
      <c r="D73" s="25">
        <f>E17</f>
        <v>142222.34</v>
      </c>
      <c r="E73" s="26">
        <f>D73/E21</f>
        <v>1.0530050276072113E-3</v>
      </c>
    </row>
    <row r="74" spans="2:5">
      <c r="B74" s="127" t="s">
        <v>64</v>
      </c>
      <c r="C74" s="118" t="s">
        <v>66</v>
      </c>
      <c r="D74" s="119">
        <f>D58-D73+D72</f>
        <v>135063305.75000003</v>
      </c>
      <c r="E74" s="65">
        <f>E58+E72-E73</f>
        <v>0.99999999999999978</v>
      </c>
    </row>
    <row r="75" spans="2:5">
      <c r="B75" s="99" t="s">
        <v>4</v>
      </c>
      <c r="C75" s="15" t="s">
        <v>67</v>
      </c>
      <c r="D75" s="75">
        <f>D74</f>
        <v>135063305.75000003</v>
      </c>
      <c r="E75" s="76">
        <f>E74</f>
        <v>0.99999999999999978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7:C57"/>
    <mergeCell ref="B2:E2"/>
    <mergeCell ref="B3:E3"/>
    <mergeCell ref="B5:E5"/>
    <mergeCell ref="B6:E6"/>
    <mergeCell ref="B9:E9"/>
    <mergeCell ref="B8:E8"/>
    <mergeCell ref="B23:E23"/>
    <mergeCell ref="B24:E24"/>
    <mergeCell ref="B43:E43"/>
    <mergeCell ref="B44:E44"/>
    <mergeCell ref="B55:E55"/>
    <mergeCell ref="B56:E56"/>
    <mergeCell ref="B21:C21"/>
  </mergeCells>
  <phoneticPr fontId="10" type="noConversion"/>
  <pageMargins left="0.47244094488188981" right="0.74803149606299213" top="0.47244094488188981" bottom="0.47244094488188981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90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20257323.629999999</v>
      </c>
      <c r="E11" s="211">
        <f>SUM(E12:E14)</f>
        <v>24302308.110000003</v>
      </c>
    </row>
    <row r="12" spans="2:7">
      <c r="B12" s="103" t="s">
        <v>4</v>
      </c>
      <c r="C12" s="188" t="s">
        <v>5</v>
      </c>
      <c r="D12" s="271">
        <f>20185942.56+308131.32-251044.29</f>
        <v>20243029.59</v>
      </c>
      <c r="E12" s="216">
        <f>24425238.17+134635.23-259472.32</f>
        <v>24300401.080000002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>
        <f>D15</f>
        <v>14294.04</v>
      </c>
      <c r="E14" s="217">
        <f>E15</f>
        <v>1907.03</v>
      </c>
    </row>
    <row r="15" spans="2:7">
      <c r="B15" s="103" t="s">
        <v>106</v>
      </c>
      <c r="C15" s="188" t="s">
        <v>11</v>
      </c>
      <c r="D15" s="272">
        <v>14294.04</v>
      </c>
      <c r="E15" s="217">
        <v>1907.03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37857.94</v>
      </c>
      <c r="E17" s="219">
        <f>E18</f>
        <v>54339.03</v>
      </c>
    </row>
    <row r="18" spans="2:6">
      <c r="B18" s="103" t="s">
        <v>4</v>
      </c>
      <c r="C18" s="188" t="s">
        <v>11</v>
      </c>
      <c r="D18" s="273">
        <v>37857.94</v>
      </c>
      <c r="E18" s="218">
        <v>54339.03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20219465.689999998</v>
      </c>
      <c r="E21" s="145">
        <f>E11-E17</f>
        <v>24247969.080000002</v>
      </c>
      <c r="F21" s="74"/>
    </row>
    <row r="22" spans="2:6">
      <c r="B22" s="3"/>
      <c r="C22" s="7"/>
      <c r="D22" s="8"/>
      <c r="E22" s="251"/>
    </row>
    <row r="23" spans="2:6" ht="15.75">
      <c r="B23" s="356"/>
      <c r="C23" s="368"/>
      <c r="D23" s="368"/>
      <c r="E23" s="368"/>
    </row>
    <row r="24" spans="2:6" ht="18" customHeight="1" thickBot="1">
      <c r="B24" s="355" t="s">
        <v>105</v>
      </c>
      <c r="C24" s="369"/>
      <c r="D24" s="369"/>
      <c r="E24" s="369"/>
    </row>
    <row r="25" spans="2:6" ht="13.5" thickBot="1">
      <c r="B25" s="83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16950682.610000003</v>
      </c>
      <c r="E26" s="206">
        <f>D21</f>
        <v>20219465.689999998</v>
      </c>
    </row>
    <row r="27" spans="2:6">
      <c r="B27" s="9" t="s">
        <v>17</v>
      </c>
      <c r="C27" s="10" t="s">
        <v>111</v>
      </c>
      <c r="D27" s="285">
        <v>-418264.04999999981</v>
      </c>
      <c r="E27" s="240">
        <v>-312446.66999999993</v>
      </c>
      <c r="F27" s="70"/>
    </row>
    <row r="28" spans="2:6">
      <c r="B28" s="9" t="s">
        <v>18</v>
      </c>
      <c r="C28" s="10" t="s">
        <v>19</v>
      </c>
      <c r="D28" s="285">
        <v>1394976.1400000001</v>
      </c>
      <c r="E28" s="241">
        <v>1312874.2200000002</v>
      </c>
      <c r="F28" s="70"/>
    </row>
    <row r="29" spans="2:6">
      <c r="B29" s="101" t="s">
        <v>4</v>
      </c>
      <c r="C29" s="6" t="s">
        <v>20</v>
      </c>
      <c r="D29" s="286">
        <v>1291455.1700000002</v>
      </c>
      <c r="E29" s="242">
        <v>1245041.46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103520.97</v>
      </c>
      <c r="E31" s="242">
        <v>67832.760000000009</v>
      </c>
      <c r="F31" s="70"/>
    </row>
    <row r="32" spans="2:6">
      <c r="B32" s="89" t="s">
        <v>23</v>
      </c>
      <c r="C32" s="11" t="s">
        <v>24</v>
      </c>
      <c r="D32" s="285">
        <v>1813240.19</v>
      </c>
      <c r="E32" s="241">
        <v>1625320.8900000001</v>
      </c>
      <c r="F32" s="70"/>
    </row>
    <row r="33" spans="2:6">
      <c r="B33" s="101" t="s">
        <v>4</v>
      </c>
      <c r="C33" s="6" t="s">
        <v>25</v>
      </c>
      <c r="D33" s="286">
        <v>910988.97</v>
      </c>
      <c r="E33" s="242">
        <v>1103321.8500000001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227983.11</v>
      </c>
      <c r="E35" s="242">
        <v>223506.29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674268.11</v>
      </c>
      <c r="E39" s="243">
        <v>298492.75</v>
      </c>
      <c r="F39" s="70"/>
    </row>
    <row r="40" spans="2:6" ht="13.5" thickBot="1">
      <c r="B40" s="94" t="s">
        <v>35</v>
      </c>
      <c r="C40" s="95" t="s">
        <v>36</v>
      </c>
      <c r="D40" s="288">
        <v>-523679.52</v>
      </c>
      <c r="E40" s="245">
        <v>4340950.0599999996</v>
      </c>
    </row>
    <row r="41" spans="2:6" ht="13.5" thickBot="1">
      <c r="B41" s="96" t="s">
        <v>37</v>
      </c>
      <c r="C41" s="97" t="s">
        <v>38</v>
      </c>
      <c r="D41" s="289">
        <v>16008739.040000003</v>
      </c>
      <c r="E41" s="145">
        <f>E26+E27+E40</f>
        <v>24247969.079999994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7.2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1635876.2345</v>
      </c>
      <c r="E47" s="300">
        <v>1603556.5158000002</v>
      </c>
    </row>
    <row r="48" spans="2:6">
      <c r="B48" s="120" t="s">
        <v>6</v>
      </c>
      <c r="C48" s="22" t="s">
        <v>41</v>
      </c>
      <c r="D48" s="299">
        <v>1590697.6109</v>
      </c>
      <c r="E48" s="310">
        <v>1583024.2397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10.361800000000001</v>
      </c>
      <c r="E50" s="300">
        <v>12.6091</v>
      </c>
    </row>
    <row r="51" spans="2:5">
      <c r="B51" s="99" t="s">
        <v>6</v>
      </c>
      <c r="C51" s="15" t="s">
        <v>114</v>
      </c>
      <c r="D51" s="299">
        <v>7.0829000000000004</v>
      </c>
      <c r="E51" s="72">
        <v>12.6091</v>
      </c>
    </row>
    <row r="52" spans="2:5" ht="12.75" customHeight="1">
      <c r="B52" s="99" t="s">
        <v>8</v>
      </c>
      <c r="C52" s="15" t="s">
        <v>115</v>
      </c>
      <c r="D52" s="299">
        <v>10.749700000000001</v>
      </c>
      <c r="E52" s="72">
        <v>15.4886</v>
      </c>
    </row>
    <row r="53" spans="2:5" ht="13.5" thickBot="1">
      <c r="B53" s="100" t="s">
        <v>9</v>
      </c>
      <c r="C53" s="17" t="s">
        <v>41</v>
      </c>
      <c r="D53" s="297">
        <v>10.064</v>
      </c>
      <c r="E53" s="246">
        <v>15.317500000000001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24300401.080000002</v>
      </c>
      <c r="E58" s="31">
        <f>D58/E21</f>
        <v>1.0021623254230907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4" customHeight="1">
      <c r="B60" s="14" t="s">
        <v>6</v>
      </c>
      <c r="C60" s="15" t="s">
        <v>45</v>
      </c>
      <c r="D60" s="75">
        <v>0</v>
      </c>
      <c r="E60" s="76">
        <v>0</v>
      </c>
    </row>
    <row r="61" spans="2:5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0</v>
      </c>
      <c r="E62" s="76">
        <v>0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306">
        <f>24425238.17-259472.32</f>
        <v>24165765.850000001</v>
      </c>
      <c r="E64" s="78">
        <f>D64/E21</f>
        <v>0.99660989216338935</v>
      </c>
    </row>
    <row r="65" spans="2:5">
      <c r="B65" s="21" t="s">
        <v>33</v>
      </c>
      <c r="C65" s="22" t="s">
        <v>118</v>
      </c>
      <c r="D65" s="77">
        <v>0</v>
      </c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298">
        <v>134635.23000000001</v>
      </c>
      <c r="E69" s="76">
        <f>D69/E21</f>
        <v>5.5524332597012699E-3</v>
      </c>
    </row>
    <row r="70" spans="2:5">
      <c r="B70" s="109" t="s">
        <v>58</v>
      </c>
      <c r="C70" s="110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1907.03</v>
      </c>
      <c r="E72" s="116">
        <f>D72/E21</f>
        <v>7.8646999000544742E-5</v>
      </c>
    </row>
    <row r="73" spans="2:5">
      <c r="B73" s="23" t="s">
        <v>62</v>
      </c>
      <c r="C73" s="24" t="s">
        <v>65</v>
      </c>
      <c r="D73" s="25">
        <f>E17</f>
        <v>54339.03</v>
      </c>
      <c r="E73" s="26">
        <f>D73/E21</f>
        <v>2.2409724220911944E-3</v>
      </c>
    </row>
    <row r="74" spans="2:5">
      <c r="B74" s="117" t="s">
        <v>64</v>
      </c>
      <c r="C74" s="118" t="s">
        <v>66</v>
      </c>
      <c r="D74" s="119">
        <f>D58+D71+D72-D73</f>
        <v>24247969.080000002</v>
      </c>
      <c r="E74" s="65">
        <f>E58+E72-E73</f>
        <v>1.0000000000000002</v>
      </c>
    </row>
    <row r="75" spans="2:5">
      <c r="B75" s="14" t="s">
        <v>4</v>
      </c>
      <c r="C75" s="15" t="s">
        <v>67</v>
      </c>
      <c r="D75" s="75">
        <f>D74</f>
        <v>24247969.080000002</v>
      </c>
      <c r="E75" s="76">
        <f>E74</f>
        <v>1.0000000000000002</v>
      </c>
    </row>
    <row r="76" spans="2:5">
      <c r="B76" s="14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9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196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63.05</v>
      </c>
      <c r="E11" s="211">
        <f>SUM(E12:E14)</f>
        <v>8274.91</v>
      </c>
    </row>
    <row r="12" spans="2:5">
      <c r="B12" s="167" t="s">
        <v>4</v>
      </c>
      <c r="C12" s="168" t="s">
        <v>5</v>
      </c>
      <c r="D12" s="271">
        <v>63.05</v>
      </c>
      <c r="E12" s="216">
        <v>8274.91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63.05</v>
      </c>
      <c r="E21" s="145">
        <f>E11-E17</f>
        <v>8274.91</v>
      </c>
      <c r="F21" s="74"/>
    </row>
    <row r="22" spans="2:6">
      <c r="B22" s="3"/>
      <c r="C22" s="7"/>
      <c r="D22" s="8"/>
      <c r="E22" s="204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86.29</v>
      </c>
      <c r="E26" s="206">
        <f>D21</f>
        <v>63.05</v>
      </c>
    </row>
    <row r="27" spans="2:6">
      <c r="B27" s="9" t="s">
        <v>17</v>
      </c>
      <c r="C27" s="10" t="s">
        <v>111</v>
      </c>
      <c r="D27" s="285">
        <v>-17.46</v>
      </c>
      <c r="E27" s="240">
        <v>7814.67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7817.1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>
        <v>7817.1</v>
      </c>
      <c r="F31" s="70"/>
    </row>
    <row r="32" spans="2:6">
      <c r="B32" s="89" t="s">
        <v>23</v>
      </c>
      <c r="C32" s="11" t="s">
        <v>24</v>
      </c>
      <c r="D32" s="285">
        <v>17.46</v>
      </c>
      <c r="E32" s="241">
        <v>2.4300000000000002</v>
      </c>
      <c r="F32" s="70"/>
    </row>
    <row r="33" spans="2:6">
      <c r="B33" s="175" t="s">
        <v>4</v>
      </c>
      <c r="C33" s="168" t="s">
        <v>25</v>
      </c>
      <c r="D33" s="286">
        <v>17.46</v>
      </c>
      <c r="E33" s="242">
        <v>2.4300000000000002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-12.47</v>
      </c>
      <c r="E40" s="245">
        <v>397.19</v>
      </c>
    </row>
    <row r="41" spans="2:6" ht="13.5" thickBot="1">
      <c r="B41" s="96" t="s">
        <v>37</v>
      </c>
      <c r="C41" s="97" t="s">
        <v>38</v>
      </c>
      <c r="D41" s="289">
        <v>56.360000000000014</v>
      </c>
      <c r="E41" s="145">
        <f>E26+E27+E40</f>
        <v>8274.91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4.0759999999999996</v>
      </c>
      <c r="E47" s="146">
        <v>3.0789999999999997</v>
      </c>
    </row>
    <row r="48" spans="2:6">
      <c r="B48" s="180" t="s">
        <v>6</v>
      </c>
      <c r="C48" s="181" t="s">
        <v>41</v>
      </c>
      <c r="D48" s="299">
        <v>3.1120000000000001</v>
      </c>
      <c r="E48" s="146">
        <v>342.363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21.17</v>
      </c>
      <c r="E50" s="146">
        <v>20.48</v>
      </c>
    </row>
    <row r="51" spans="2:5">
      <c r="B51" s="178" t="s">
        <v>6</v>
      </c>
      <c r="C51" s="179" t="s">
        <v>114</v>
      </c>
      <c r="D51" s="299">
        <v>13.9</v>
      </c>
      <c r="E51" s="146">
        <v>20.440000000000001</v>
      </c>
    </row>
    <row r="52" spans="2:5">
      <c r="B52" s="178" t="s">
        <v>8</v>
      </c>
      <c r="C52" s="179" t="s">
        <v>115</v>
      </c>
      <c r="D52" s="299">
        <v>21.56</v>
      </c>
      <c r="E52" s="72">
        <v>24.72</v>
      </c>
    </row>
    <row r="53" spans="2:5" ht="14.25" customHeight="1" thickBot="1">
      <c r="B53" s="182" t="s">
        <v>9</v>
      </c>
      <c r="C53" s="183" t="s">
        <v>41</v>
      </c>
      <c r="D53" s="297">
        <v>18.11</v>
      </c>
      <c r="E53" s="246">
        <v>24.17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8274.91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8274.91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8274.91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8274.91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52" header="0.5" footer="0.5"/>
  <pageSetup paperSize="9" scale="70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0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197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1071430.03</v>
      </c>
      <c r="E11" s="211">
        <f>SUM(E12:E14)</f>
        <v>1008057.52</v>
      </c>
    </row>
    <row r="12" spans="2:5">
      <c r="B12" s="167" t="s">
        <v>4</v>
      </c>
      <c r="C12" s="168" t="s">
        <v>5</v>
      </c>
      <c r="D12" s="271">
        <v>1071430.03</v>
      </c>
      <c r="E12" s="216">
        <v>1008057.52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1071430.03</v>
      </c>
      <c r="E21" s="145">
        <f>E11-E17</f>
        <v>1008057.52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1445908.38</v>
      </c>
      <c r="E26" s="206">
        <f>D21</f>
        <v>1071430.03</v>
      </c>
    </row>
    <row r="27" spans="2:6">
      <c r="B27" s="9" t="s">
        <v>17</v>
      </c>
      <c r="C27" s="10" t="s">
        <v>111</v>
      </c>
      <c r="D27" s="285">
        <v>-533812.26</v>
      </c>
      <c r="E27" s="240">
        <v>-319961.28000000003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533812.26</v>
      </c>
      <c r="E32" s="241">
        <v>319961.28000000003</v>
      </c>
      <c r="F32" s="70"/>
    </row>
    <row r="33" spans="2:6">
      <c r="B33" s="175" t="s">
        <v>4</v>
      </c>
      <c r="C33" s="168" t="s">
        <v>25</v>
      </c>
      <c r="D33" s="286"/>
      <c r="E33" s="242">
        <v>312164.95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657.24</v>
      </c>
      <c r="E35" s="242">
        <v>306.7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8938.2800000000007</v>
      </c>
      <c r="E37" s="242">
        <v>7489.63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524216.74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-16354.71</v>
      </c>
      <c r="E40" s="245">
        <v>256588.77</v>
      </c>
    </row>
    <row r="41" spans="2:6" ht="13.5" thickBot="1">
      <c r="B41" s="96" t="s">
        <v>37</v>
      </c>
      <c r="C41" s="97" t="s">
        <v>38</v>
      </c>
      <c r="D41" s="289">
        <v>895741.40999999992</v>
      </c>
      <c r="E41" s="145">
        <f>E26+E27+E40</f>
        <v>1008057.52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80417.596000000005</v>
      </c>
      <c r="E47" s="146">
        <v>49283.81</v>
      </c>
    </row>
    <row r="48" spans="2:6">
      <c r="B48" s="180" t="s">
        <v>6</v>
      </c>
      <c r="C48" s="181" t="s">
        <v>41</v>
      </c>
      <c r="D48" s="299">
        <v>49625.563000000002</v>
      </c>
      <c r="E48" s="146">
        <v>37115.519999999997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17.98</v>
      </c>
      <c r="E50" s="146">
        <v>21.74</v>
      </c>
    </row>
    <row r="51" spans="2:5">
      <c r="B51" s="178" t="s">
        <v>6</v>
      </c>
      <c r="C51" s="179" t="s">
        <v>114</v>
      </c>
      <c r="D51" s="299">
        <v>13.02</v>
      </c>
      <c r="E51" s="146">
        <v>21.74</v>
      </c>
    </row>
    <row r="52" spans="2:5">
      <c r="B52" s="178" t="s">
        <v>8</v>
      </c>
      <c r="C52" s="179" t="s">
        <v>115</v>
      </c>
      <c r="D52" s="299">
        <v>19.2</v>
      </c>
      <c r="E52" s="72">
        <v>27.52</v>
      </c>
    </row>
    <row r="53" spans="2:5" ht="13.5" customHeight="1" thickBot="1">
      <c r="B53" s="182" t="s">
        <v>9</v>
      </c>
      <c r="C53" s="183" t="s">
        <v>41</v>
      </c>
      <c r="D53" s="297">
        <v>18.05</v>
      </c>
      <c r="E53" s="246">
        <v>27.16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1008057.52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1008057.52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1008057.52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1008057.52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1">
    <pageSetUpPr fitToPage="1"/>
  </sheetPr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198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23185.539999999997</v>
      </c>
      <c r="E11" s="211">
        <f>SUM(E12:E14)</f>
        <v>20131.22</v>
      </c>
    </row>
    <row r="12" spans="2:5">
      <c r="B12" s="167" t="s">
        <v>4</v>
      </c>
      <c r="C12" s="168" t="s">
        <v>5</v>
      </c>
      <c r="D12" s="271">
        <v>23185.539999999997</v>
      </c>
      <c r="E12" s="216">
        <v>20131.22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23185.539999999997</v>
      </c>
      <c r="E21" s="145">
        <f>E11-E17</f>
        <v>20131.22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16873.509999999998</v>
      </c>
      <c r="E26" s="206">
        <f>D21</f>
        <v>23185.539999999997</v>
      </c>
    </row>
    <row r="27" spans="2:6">
      <c r="B27" s="9" t="s">
        <v>17</v>
      </c>
      <c r="C27" s="10" t="s">
        <v>111</v>
      </c>
      <c r="D27" s="285">
        <v>2892.5099999999984</v>
      </c>
      <c r="E27" s="240">
        <v>-2827.86</v>
      </c>
      <c r="F27" s="70"/>
    </row>
    <row r="28" spans="2:6">
      <c r="B28" s="9" t="s">
        <v>18</v>
      </c>
      <c r="C28" s="10" t="s">
        <v>19</v>
      </c>
      <c r="D28" s="285">
        <v>8706.2099999999991</v>
      </c>
      <c r="E28" s="241">
        <v>3491.9</v>
      </c>
      <c r="F28" s="70"/>
    </row>
    <row r="29" spans="2:6">
      <c r="B29" s="175" t="s">
        <v>4</v>
      </c>
      <c r="C29" s="168" t="s">
        <v>20</v>
      </c>
      <c r="D29" s="286">
        <v>3955.46</v>
      </c>
      <c r="E29" s="242">
        <v>3491.9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4750.75</v>
      </c>
      <c r="E31" s="242"/>
      <c r="F31" s="70"/>
    </row>
    <row r="32" spans="2:6">
      <c r="B32" s="89" t="s">
        <v>23</v>
      </c>
      <c r="C32" s="11" t="s">
        <v>24</v>
      </c>
      <c r="D32" s="285">
        <v>5813.7000000000007</v>
      </c>
      <c r="E32" s="241">
        <v>6319.76</v>
      </c>
      <c r="F32" s="70"/>
    </row>
    <row r="33" spans="2:6">
      <c r="B33" s="175" t="s">
        <v>4</v>
      </c>
      <c r="C33" s="168" t="s">
        <v>25</v>
      </c>
      <c r="D33" s="286">
        <v>2044.8200000000002</v>
      </c>
      <c r="E33" s="242">
        <v>4442.25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240.52</v>
      </c>
      <c r="E35" s="242">
        <v>293.39999999999998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81.540000000000006</v>
      </c>
      <c r="E37" s="242">
        <v>83.77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3446.82</v>
      </c>
      <c r="E39" s="243">
        <v>1500.34</v>
      </c>
      <c r="F39" s="70"/>
    </row>
    <row r="40" spans="2:6" ht="13.5" thickBot="1">
      <c r="B40" s="94" t="s">
        <v>35</v>
      </c>
      <c r="C40" s="95" t="s">
        <v>36</v>
      </c>
      <c r="D40" s="288">
        <v>666.73</v>
      </c>
      <c r="E40" s="245">
        <v>-226.46</v>
      </c>
    </row>
    <row r="41" spans="2:6" ht="13.5" thickBot="1">
      <c r="B41" s="96" t="s">
        <v>37</v>
      </c>
      <c r="C41" s="97" t="s">
        <v>38</v>
      </c>
      <c r="D41" s="289">
        <v>20432.749999999996</v>
      </c>
      <c r="E41" s="145">
        <f>E26+E27+E40</f>
        <v>20131.219999999998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275.666</v>
      </c>
      <c r="E47" s="146">
        <v>361.42700000000002</v>
      </c>
    </row>
    <row r="48" spans="2:6">
      <c r="B48" s="180" t="s">
        <v>6</v>
      </c>
      <c r="C48" s="181" t="s">
        <v>41</v>
      </c>
      <c r="D48" s="299">
        <v>323.303</v>
      </c>
      <c r="E48" s="146">
        <v>317.077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61.21</v>
      </c>
      <c r="E50" s="146">
        <v>64.150000000000006</v>
      </c>
    </row>
    <row r="51" spans="2:5">
      <c r="B51" s="178" t="s">
        <v>6</v>
      </c>
      <c r="C51" s="179" t="s">
        <v>114</v>
      </c>
      <c r="D51" s="299">
        <v>60.85</v>
      </c>
      <c r="E51" s="146">
        <v>63.04</v>
      </c>
    </row>
    <row r="52" spans="2:5">
      <c r="B52" s="178" t="s">
        <v>8</v>
      </c>
      <c r="C52" s="179" t="s">
        <v>115</v>
      </c>
      <c r="D52" s="299">
        <v>63.2</v>
      </c>
      <c r="E52" s="72">
        <v>64.37</v>
      </c>
    </row>
    <row r="53" spans="2:5" ht="12.75" customHeight="1" thickBot="1">
      <c r="B53" s="182" t="s">
        <v>9</v>
      </c>
      <c r="C53" s="183" t="s">
        <v>41</v>
      </c>
      <c r="D53" s="297">
        <v>63.2</v>
      </c>
      <c r="E53" s="246">
        <v>63.49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20131.22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20131.22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20131.22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20131.22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2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235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5389760.7599999998</v>
      </c>
      <c r="E11" s="211">
        <f>SUM(E12:E14)</f>
        <v>5154200.28</v>
      </c>
    </row>
    <row r="12" spans="2:5">
      <c r="B12" s="167" t="s">
        <v>4</v>
      </c>
      <c r="C12" s="168" t="s">
        <v>5</v>
      </c>
      <c r="D12" s="271">
        <v>5389760.7599999998</v>
      </c>
      <c r="E12" s="216">
        <v>5154200.28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5389760.7599999998</v>
      </c>
      <c r="E21" s="145">
        <f>E11-E17</f>
        <v>5154200.28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4476349.07</v>
      </c>
      <c r="E26" s="206">
        <f>D21</f>
        <v>5389760.7599999998</v>
      </c>
    </row>
    <row r="27" spans="2:6">
      <c r="B27" s="9" t="s">
        <v>17</v>
      </c>
      <c r="C27" s="10" t="s">
        <v>111</v>
      </c>
      <c r="D27" s="285">
        <v>1332820.01</v>
      </c>
      <c r="E27" s="240">
        <v>-250215.01</v>
      </c>
      <c r="F27" s="70"/>
    </row>
    <row r="28" spans="2:6">
      <c r="B28" s="9" t="s">
        <v>18</v>
      </c>
      <c r="C28" s="10" t="s">
        <v>19</v>
      </c>
      <c r="D28" s="285">
        <v>1424011.04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1424011.04</v>
      </c>
      <c r="E31" s="242"/>
      <c r="F31" s="70"/>
    </row>
    <row r="32" spans="2:6">
      <c r="B32" s="89" t="s">
        <v>23</v>
      </c>
      <c r="C32" s="11" t="s">
        <v>24</v>
      </c>
      <c r="D32" s="285">
        <v>91191.03</v>
      </c>
      <c r="E32" s="241">
        <v>250215.01</v>
      </c>
      <c r="F32" s="70"/>
    </row>
    <row r="33" spans="2:6">
      <c r="B33" s="175" t="s">
        <v>4</v>
      </c>
      <c r="C33" s="168" t="s">
        <v>25</v>
      </c>
      <c r="D33" s="286">
        <v>41914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8085.43</v>
      </c>
      <c r="E35" s="242">
        <v>7942.54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41191.599999999999</v>
      </c>
      <c r="E37" s="242">
        <v>42321.47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199951</v>
      </c>
      <c r="F39" s="70"/>
    </row>
    <row r="40" spans="2:6" ht="13.5" thickBot="1">
      <c r="B40" s="94" t="s">
        <v>35</v>
      </c>
      <c r="C40" s="95" t="s">
        <v>36</v>
      </c>
      <c r="D40" s="288">
        <v>-20398.18</v>
      </c>
      <c r="E40" s="245">
        <v>14654.53</v>
      </c>
    </row>
    <row r="41" spans="2:6" ht="13.5" thickBot="1">
      <c r="B41" s="96" t="s">
        <v>37</v>
      </c>
      <c r="C41" s="97" t="s">
        <v>38</v>
      </c>
      <c r="D41" s="289">
        <v>5788770.9000000004</v>
      </c>
      <c r="E41" s="145">
        <f>E26+E27+E40</f>
        <v>5154200.28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22414.245999999999</v>
      </c>
      <c r="E47" s="146">
        <v>26534.86</v>
      </c>
    </row>
    <row r="48" spans="2:6">
      <c r="B48" s="180" t="s">
        <v>6</v>
      </c>
      <c r="C48" s="181" t="s">
        <v>41</v>
      </c>
      <c r="D48" s="299">
        <v>29089.300999999999</v>
      </c>
      <c r="E48" s="146">
        <v>25310.352999999999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199.71</v>
      </c>
      <c r="E50" s="146">
        <v>203.12</v>
      </c>
    </row>
    <row r="51" spans="2:5">
      <c r="B51" s="178" t="s">
        <v>6</v>
      </c>
      <c r="C51" s="179" t="s">
        <v>114</v>
      </c>
      <c r="D51" s="299">
        <v>195.76</v>
      </c>
      <c r="E51" s="146">
        <v>203.02</v>
      </c>
    </row>
    <row r="52" spans="2:5">
      <c r="B52" s="178" t="s">
        <v>8</v>
      </c>
      <c r="C52" s="179" t="s">
        <v>115</v>
      </c>
      <c r="D52" s="299">
        <v>200.44</v>
      </c>
      <c r="E52" s="72">
        <v>204.68</v>
      </c>
    </row>
    <row r="53" spans="2:5" ht="12.75" customHeight="1" thickBot="1">
      <c r="B53" s="182" t="s">
        <v>9</v>
      </c>
      <c r="C53" s="183" t="s">
        <v>41</v>
      </c>
      <c r="D53" s="297">
        <v>199</v>
      </c>
      <c r="E53" s="246">
        <v>203.64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5154200.28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5154200.28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5154200.28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5154200.28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3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236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9399837.5299999993</v>
      </c>
      <c r="E11" s="211">
        <f>SUM(E12:E14)</f>
        <v>5791423.0199999996</v>
      </c>
    </row>
    <row r="12" spans="2:5">
      <c r="B12" s="167" t="s">
        <v>4</v>
      </c>
      <c r="C12" s="168" t="s">
        <v>5</v>
      </c>
      <c r="D12" s="271">
        <v>9399837.5299999993</v>
      </c>
      <c r="E12" s="216">
        <v>5791423.0199999996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9399837.5299999993</v>
      </c>
      <c r="E21" s="145">
        <f>E11-E17</f>
        <v>5791423.0199999996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5467492.3099999996</v>
      </c>
      <c r="E26" s="206">
        <f>D21</f>
        <v>9399837.5299999993</v>
      </c>
    </row>
    <row r="27" spans="2:6">
      <c r="B27" s="9" t="s">
        <v>17</v>
      </c>
      <c r="C27" s="10" t="s">
        <v>111</v>
      </c>
      <c r="D27" s="285">
        <v>3401236.03</v>
      </c>
      <c r="E27" s="240">
        <v>-3686353.46</v>
      </c>
      <c r="F27" s="70"/>
    </row>
    <row r="28" spans="2:6">
      <c r="B28" s="9" t="s">
        <v>18</v>
      </c>
      <c r="C28" s="10" t="s">
        <v>19</v>
      </c>
      <c r="D28" s="285">
        <v>3847171.75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3847171.75</v>
      </c>
      <c r="E31" s="242"/>
      <c r="F31" s="70"/>
    </row>
    <row r="32" spans="2:6">
      <c r="B32" s="89" t="s">
        <v>23</v>
      </c>
      <c r="C32" s="11" t="s">
        <v>24</v>
      </c>
      <c r="D32" s="285">
        <v>445935.72000000003</v>
      </c>
      <c r="E32" s="241">
        <v>3686353.46</v>
      </c>
      <c r="F32" s="70"/>
    </row>
    <row r="33" spans="2:6">
      <c r="B33" s="175" t="s">
        <v>4</v>
      </c>
      <c r="C33" s="168" t="s">
        <v>25</v>
      </c>
      <c r="D33" s="286">
        <v>382904.25</v>
      </c>
      <c r="E33" s="242">
        <v>3618806.36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4406.33</v>
      </c>
      <c r="E35" s="242">
        <v>5030.43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58625.14</v>
      </c>
      <c r="E37" s="242">
        <v>62516.67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-172910.82</v>
      </c>
      <c r="E40" s="245">
        <v>77938.95</v>
      </c>
    </row>
    <row r="41" spans="2:6" ht="13.5" thickBot="1">
      <c r="B41" s="96" t="s">
        <v>37</v>
      </c>
      <c r="C41" s="97" t="s">
        <v>38</v>
      </c>
      <c r="D41" s="289">
        <v>8695817.5199999996</v>
      </c>
      <c r="E41" s="145">
        <f>E26+E27+E40</f>
        <v>5791423.0199999996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473786.16200000001</v>
      </c>
      <c r="E47" s="146">
        <v>806853.00699999998</v>
      </c>
    </row>
    <row r="48" spans="2:6">
      <c r="B48" s="180" t="s">
        <v>6</v>
      </c>
      <c r="C48" s="181" t="s">
        <v>41</v>
      </c>
      <c r="D48" s="299">
        <v>770222.98699999996</v>
      </c>
      <c r="E48" s="146">
        <v>493306.90100000001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11.54</v>
      </c>
      <c r="E50" s="146">
        <v>11.65</v>
      </c>
    </row>
    <row r="51" spans="2:5">
      <c r="B51" s="178" t="s">
        <v>6</v>
      </c>
      <c r="C51" s="179" t="s">
        <v>114</v>
      </c>
      <c r="D51" s="299">
        <v>11.02</v>
      </c>
      <c r="E51" s="146">
        <v>11.65</v>
      </c>
    </row>
    <row r="52" spans="2:5">
      <c r="B52" s="178" t="s">
        <v>8</v>
      </c>
      <c r="C52" s="179" t="s">
        <v>115</v>
      </c>
      <c r="D52" s="299">
        <v>11.6</v>
      </c>
      <c r="E52" s="72">
        <v>11.79</v>
      </c>
    </row>
    <row r="53" spans="2:5" ht="12.75" customHeight="1" thickBot="1">
      <c r="B53" s="182" t="s">
        <v>9</v>
      </c>
      <c r="C53" s="183" t="s">
        <v>41</v>
      </c>
      <c r="D53" s="297">
        <v>11.29</v>
      </c>
      <c r="E53" s="246">
        <v>11.74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5791423.0199999996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5791423.0199999996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5791423.0199999996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5791423.0199999996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4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258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202901.63</v>
      </c>
      <c r="E11" s="211">
        <f>SUM(E12:E14)</f>
        <v>203648.42</v>
      </c>
    </row>
    <row r="12" spans="2:5">
      <c r="B12" s="167" t="s">
        <v>4</v>
      </c>
      <c r="C12" s="168" t="s">
        <v>5</v>
      </c>
      <c r="D12" s="271">
        <v>202901.63</v>
      </c>
      <c r="E12" s="216">
        <v>203648.42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202901.63</v>
      </c>
      <c r="E21" s="145">
        <f>E11-E17</f>
        <v>203648.42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207089.8</v>
      </c>
      <c r="E26" s="206">
        <f>D21</f>
        <v>202901.63</v>
      </c>
    </row>
    <row r="27" spans="2:6">
      <c r="B27" s="9" t="s">
        <v>17</v>
      </c>
      <c r="C27" s="10" t="s">
        <v>111</v>
      </c>
      <c r="D27" s="285">
        <v>-1798.3</v>
      </c>
      <c r="E27" s="240">
        <v>-1626.38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1798.3</v>
      </c>
      <c r="E32" s="241">
        <v>1626.38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1798.3</v>
      </c>
      <c r="E37" s="242">
        <v>1626.38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-8463.24</v>
      </c>
      <c r="E40" s="245">
        <v>2373.17</v>
      </c>
    </row>
    <row r="41" spans="2:6" ht="13.5" thickBot="1">
      <c r="B41" s="96" t="s">
        <v>37</v>
      </c>
      <c r="C41" s="97" t="s">
        <v>38</v>
      </c>
      <c r="D41" s="289">
        <v>196828.26</v>
      </c>
      <c r="E41" s="145">
        <f>E26+E27+E40</f>
        <v>203648.42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54"/>
    </row>
    <row r="47" spans="2:6">
      <c r="B47" s="178" t="s">
        <v>4</v>
      </c>
      <c r="C47" s="179" t="s">
        <v>40</v>
      </c>
      <c r="D47" s="299">
        <v>17286.294000000002</v>
      </c>
      <c r="E47" s="345">
        <v>16993.436000000002</v>
      </c>
    </row>
    <row r="48" spans="2:6">
      <c r="B48" s="180" t="s">
        <v>6</v>
      </c>
      <c r="C48" s="181" t="s">
        <v>41</v>
      </c>
      <c r="D48" s="299">
        <v>17130.397000000001</v>
      </c>
      <c r="E48" s="146">
        <v>16858.312999999998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11.98</v>
      </c>
      <c r="E50" s="72">
        <v>11.94</v>
      </c>
    </row>
    <row r="51" spans="2:5">
      <c r="B51" s="178" t="s">
        <v>6</v>
      </c>
      <c r="C51" s="179" t="s">
        <v>114</v>
      </c>
      <c r="D51" s="299">
        <v>10.5</v>
      </c>
      <c r="E51" s="72">
        <v>11.92</v>
      </c>
    </row>
    <row r="52" spans="2:5">
      <c r="B52" s="178" t="s">
        <v>8</v>
      </c>
      <c r="C52" s="179" t="s">
        <v>115</v>
      </c>
      <c r="D52" s="299">
        <v>12.04</v>
      </c>
      <c r="E52" s="72">
        <v>12.15</v>
      </c>
    </row>
    <row r="53" spans="2:5" ht="14.25" customHeight="1" thickBot="1">
      <c r="B53" s="182" t="s">
        <v>9</v>
      </c>
      <c r="C53" s="183" t="s">
        <v>41</v>
      </c>
      <c r="D53" s="297">
        <v>11.49</v>
      </c>
      <c r="E53" s="246">
        <v>12.08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203648.42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203648.42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203648.42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203648.42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5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199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166157.74</v>
      </c>
      <c r="E11" s="211">
        <f>SUM(E12:E14)</f>
        <v>155415.38</v>
      </c>
    </row>
    <row r="12" spans="2:5">
      <c r="B12" s="167" t="s">
        <v>4</v>
      </c>
      <c r="C12" s="168" t="s">
        <v>5</v>
      </c>
      <c r="D12" s="271">
        <v>166157.74</v>
      </c>
      <c r="E12" s="216">
        <v>155415.38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166157.74</v>
      </c>
      <c r="E21" s="145">
        <f>E11-E17</f>
        <v>155415.38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253284.17</v>
      </c>
      <c r="E26" s="206">
        <f>D21</f>
        <v>166157.74</v>
      </c>
    </row>
    <row r="27" spans="2:6">
      <c r="B27" s="9" t="s">
        <v>17</v>
      </c>
      <c r="C27" s="10" t="s">
        <v>111</v>
      </c>
      <c r="D27" s="285">
        <v>-34837.159999999996</v>
      </c>
      <c r="E27" s="240">
        <v>-8554.51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34837.159999999996</v>
      </c>
      <c r="E32" s="241">
        <v>8554.51</v>
      </c>
      <c r="F32" s="70"/>
    </row>
    <row r="33" spans="2:6">
      <c r="B33" s="175" t="s">
        <v>4</v>
      </c>
      <c r="C33" s="168" t="s">
        <v>25</v>
      </c>
      <c r="D33" s="286">
        <v>32362.25</v>
      </c>
      <c r="E33" s="242">
        <v>7047.4500000000007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582.64</v>
      </c>
      <c r="E35" s="242">
        <v>459.49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1892.27</v>
      </c>
      <c r="E37" s="242">
        <v>1047.57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7721.26</v>
      </c>
      <c r="E40" s="245">
        <v>-2187.85</v>
      </c>
    </row>
    <row r="41" spans="2:6" ht="13.5" thickBot="1">
      <c r="B41" s="96" t="s">
        <v>37</v>
      </c>
      <c r="C41" s="97" t="s">
        <v>38</v>
      </c>
      <c r="D41" s="289">
        <v>226168.27000000002</v>
      </c>
      <c r="E41" s="145">
        <f>E26+E27+E40</f>
        <v>155415.37999999998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19588.876</v>
      </c>
      <c r="E47" s="146">
        <v>12253.521000000001</v>
      </c>
    </row>
    <row r="48" spans="2:6">
      <c r="B48" s="180" t="s">
        <v>6</v>
      </c>
      <c r="C48" s="181" t="s">
        <v>41</v>
      </c>
      <c r="D48" s="299">
        <v>16954.143</v>
      </c>
      <c r="E48" s="146">
        <v>11615.499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12.93</v>
      </c>
      <c r="E50" s="146">
        <v>13.56</v>
      </c>
    </row>
    <row r="51" spans="2:5">
      <c r="B51" s="178" t="s">
        <v>6</v>
      </c>
      <c r="C51" s="179" t="s">
        <v>114</v>
      </c>
      <c r="D51" s="299">
        <v>12.82</v>
      </c>
      <c r="E51" s="146">
        <v>13.29</v>
      </c>
    </row>
    <row r="52" spans="2:5">
      <c r="B52" s="178" t="s">
        <v>8</v>
      </c>
      <c r="C52" s="179" t="s">
        <v>115</v>
      </c>
      <c r="D52" s="299">
        <v>13.35</v>
      </c>
      <c r="E52" s="72">
        <v>13.61</v>
      </c>
    </row>
    <row r="53" spans="2:5" ht="13.5" customHeight="1" thickBot="1">
      <c r="B53" s="182" t="s">
        <v>9</v>
      </c>
      <c r="C53" s="183" t="s">
        <v>41</v>
      </c>
      <c r="D53" s="297">
        <v>13.34</v>
      </c>
      <c r="E53" s="246">
        <v>13.38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155415.38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155415.38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155415.38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155415.38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6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200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8591.7800000000007</v>
      </c>
      <c r="E11" s="211">
        <f>SUM(E12:E14)</f>
        <v>10299.700000000001</v>
      </c>
    </row>
    <row r="12" spans="2:5">
      <c r="B12" s="167" t="s">
        <v>4</v>
      </c>
      <c r="C12" s="168" t="s">
        <v>5</v>
      </c>
      <c r="D12" s="271">
        <v>8591.7800000000007</v>
      </c>
      <c r="E12" s="216">
        <v>10299.700000000001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8591.7800000000007</v>
      </c>
      <c r="E21" s="145">
        <f>E11-E17</f>
        <v>10299.700000000001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1059.5899999999999</v>
      </c>
      <c r="E26" s="206">
        <f>D21</f>
        <v>8591.7800000000007</v>
      </c>
    </row>
    <row r="27" spans="2:6">
      <c r="B27" s="9" t="s">
        <v>17</v>
      </c>
      <c r="C27" s="10" t="s">
        <v>111</v>
      </c>
      <c r="D27" s="285">
        <v>0</v>
      </c>
      <c r="E27" s="240">
        <v>-101.54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0</v>
      </c>
      <c r="E32" s="241">
        <v>101.54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>
        <v>35.35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>
        <v>66.19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2.98</v>
      </c>
      <c r="E40" s="245">
        <v>1809.46</v>
      </c>
    </row>
    <row r="41" spans="2:6" ht="13.5" thickBot="1">
      <c r="B41" s="96" t="s">
        <v>37</v>
      </c>
      <c r="C41" s="97" t="s">
        <v>38</v>
      </c>
      <c r="D41" s="289">
        <v>1062.57</v>
      </c>
      <c r="E41" s="145">
        <f>E26+E27+E40</f>
        <v>10299.700000000001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99.212999999999994</v>
      </c>
      <c r="E47" s="146">
        <v>675.98599999999999</v>
      </c>
    </row>
    <row r="48" spans="2:6">
      <c r="B48" s="180" t="s">
        <v>6</v>
      </c>
      <c r="C48" s="181" t="s">
        <v>41</v>
      </c>
      <c r="D48" s="299">
        <v>99.212999999999994</v>
      </c>
      <c r="E48" s="146">
        <v>668.81200000000001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10.68</v>
      </c>
      <c r="E50" s="146">
        <v>12.71</v>
      </c>
    </row>
    <row r="51" spans="2:5">
      <c r="B51" s="178" t="s">
        <v>6</v>
      </c>
      <c r="C51" s="179" t="s">
        <v>114</v>
      </c>
      <c r="D51" s="299">
        <v>7.79</v>
      </c>
      <c r="E51" s="146">
        <v>12.71</v>
      </c>
    </row>
    <row r="52" spans="2:5">
      <c r="B52" s="178" t="s">
        <v>8</v>
      </c>
      <c r="C52" s="179" t="s">
        <v>115</v>
      </c>
      <c r="D52" s="299">
        <v>11.47</v>
      </c>
      <c r="E52" s="72">
        <v>15.67</v>
      </c>
    </row>
    <row r="53" spans="2:5" ht="12.75" customHeight="1" thickBot="1">
      <c r="B53" s="182" t="s">
        <v>9</v>
      </c>
      <c r="C53" s="183" t="s">
        <v>41</v>
      </c>
      <c r="D53" s="297">
        <v>10.71</v>
      </c>
      <c r="E53" s="246">
        <v>15.4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10299.700000000001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10299.700000000001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10299.700000000001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10299.700000000001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8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201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 t="s">
        <v>123</v>
      </c>
      <c r="E11" s="211" t="s">
        <v>123</v>
      </c>
    </row>
    <row r="12" spans="2:5">
      <c r="B12" s="167" t="s">
        <v>4</v>
      </c>
      <c r="C12" s="168" t="s">
        <v>5</v>
      </c>
      <c r="D12" s="271"/>
      <c r="E12" s="216"/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0</v>
      </c>
      <c r="E21" s="145" t="s">
        <v>123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196572.73</v>
      </c>
      <c r="E26" s="206">
        <f>D21</f>
        <v>0</v>
      </c>
    </row>
    <row r="27" spans="2:6">
      <c r="B27" s="9" t="s">
        <v>17</v>
      </c>
      <c r="C27" s="10" t="s">
        <v>111</v>
      </c>
      <c r="D27" s="285">
        <v>-198083.69</v>
      </c>
      <c r="E27" s="240" t="s">
        <v>123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198083.69</v>
      </c>
      <c r="E32" s="241" t="s">
        <v>123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736.3</v>
      </c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197347.39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1510.96</v>
      </c>
      <c r="E40" s="245"/>
    </row>
    <row r="41" spans="2:6" ht="13.5" thickBot="1">
      <c r="B41" s="96" t="s">
        <v>37</v>
      </c>
      <c r="C41" s="97" t="s">
        <v>38</v>
      </c>
      <c r="D41" s="289">
        <v>0</v>
      </c>
      <c r="E41" s="145" t="s">
        <v>123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3779.518</v>
      </c>
      <c r="E47" s="146"/>
    </row>
    <row r="48" spans="2:6">
      <c r="B48" s="180" t="s">
        <v>6</v>
      </c>
      <c r="C48" s="181" t="s">
        <v>41</v>
      </c>
      <c r="D48" s="299" t="s">
        <v>123</v>
      </c>
      <c r="E48" s="146"/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52.01</v>
      </c>
      <c r="E50" s="146"/>
    </row>
    <row r="51" spans="2:5">
      <c r="B51" s="178" t="s">
        <v>6</v>
      </c>
      <c r="C51" s="179" t="s">
        <v>114</v>
      </c>
      <c r="D51" s="299">
        <v>52.01</v>
      </c>
      <c r="E51" s="146"/>
    </row>
    <row r="52" spans="2:5">
      <c r="B52" s="178" t="s">
        <v>8</v>
      </c>
      <c r="C52" s="179" t="s">
        <v>115</v>
      </c>
      <c r="D52" s="299">
        <v>53.89</v>
      </c>
      <c r="E52" s="72"/>
    </row>
    <row r="53" spans="2:5" ht="13.5" customHeight="1" thickBot="1">
      <c r="B53" s="182" t="s">
        <v>9</v>
      </c>
      <c r="C53" s="183" t="s">
        <v>41</v>
      </c>
      <c r="D53" s="297" t="s">
        <v>123</v>
      </c>
      <c r="E53" s="246"/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 t="str">
        <f>D64</f>
        <v>-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 t="str">
        <f>E21</f>
        <v>-</v>
      </c>
      <c r="E64" s="78"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 t="str">
        <f>D58</f>
        <v>-</v>
      </c>
      <c r="E74" s="65">
        <f>E58+E72-E73</f>
        <v>0</v>
      </c>
    </row>
    <row r="75" spans="2:5">
      <c r="B75" s="99" t="s">
        <v>4</v>
      </c>
      <c r="C75" s="15" t="s">
        <v>67</v>
      </c>
      <c r="D75" s="75" t="str">
        <f>D74</f>
        <v>-</v>
      </c>
      <c r="E75" s="76">
        <f>E74</f>
        <v>0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9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202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678751.03</v>
      </c>
      <c r="E11" s="211">
        <f>SUM(E12:E14)</f>
        <v>710223.34</v>
      </c>
    </row>
    <row r="12" spans="2:5">
      <c r="B12" s="167" t="s">
        <v>4</v>
      </c>
      <c r="C12" s="168" t="s">
        <v>5</v>
      </c>
      <c r="D12" s="271">
        <v>678751.03</v>
      </c>
      <c r="E12" s="216">
        <v>710223.34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678751.03</v>
      </c>
      <c r="E21" s="145">
        <f>E11-E17</f>
        <v>710223.34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858890.75</v>
      </c>
      <c r="E26" s="206">
        <f>D21</f>
        <v>678751.03</v>
      </c>
    </row>
    <row r="27" spans="2:6">
      <c r="B27" s="9" t="s">
        <v>17</v>
      </c>
      <c r="C27" s="10" t="s">
        <v>111</v>
      </c>
      <c r="D27" s="285">
        <v>-214172.05</v>
      </c>
      <c r="E27" s="240">
        <v>-6055.43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214172.05000000002</v>
      </c>
      <c r="E32" s="241">
        <v>6055.43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1169.04</v>
      </c>
      <c r="E35" s="242">
        <v>936.31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5349.1</v>
      </c>
      <c r="E37" s="242">
        <v>5119.12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207653.91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-27148.639999999999</v>
      </c>
      <c r="E40" s="245">
        <v>37527.74</v>
      </c>
    </row>
    <row r="41" spans="2:6" ht="13.5" thickBot="1">
      <c r="B41" s="96" t="s">
        <v>37</v>
      </c>
      <c r="C41" s="97" t="s">
        <v>38</v>
      </c>
      <c r="D41" s="289">
        <v>617570.05999999994</v>
      </c>
      <c r="E41" s="145">
        <f>E26+E27+E40</f>
        <v>710223.34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40210.241000000002</v>
      </c>
      <c r="E47" s="146">
        <v>29927.294000000002</v>
      </c>
    </row>
    <row r="48" spans="2:6">
      <c r="B48" s="180" t="s">
        <v>6</v>
      </c>
      <c r="C48" s="181" t="s">
        <v>41</v>
      </c>
      <c r="D48" s="299">
        <v>30199.025000000001</v>
      </c>
      <c r="E48" s="146">
        <v>29666.806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21.36</v>
      </c>
      <c r="E50" s="146">
        <v>22.68</v>
      </c>
    </row>
    <row r="51" spans="2:5">
      <c r="B51" s="178" t="s">
        <v>6</v>
      </c>
      <c r="C51" s="179" t="s">
        <v>114</v>
      </c>
      <c r="D51" s="299">
        <v>17.02</v>
      </c>
      <c r="E51" s="72">
        <v>22.57</v>
      </c>
    </row>
    <row r="52" spans="2:5">
      <c r="B52" s="178" t="s">
        <v>8</v>
      </c>
      <c r="C52" s="179" t="s">
        <v>115</v>
      </c>
      <c r="D52" s="299">
        <v>21.92</v>
      </c>
      <c r="E52" s="72">
        <v>23.99</v>
      </c>
    </row>
    <row r="53" spans="2:5" ht="12.75" customHeight="1" thickBot="1">
      <c r="B53" s="182" t="s">
        <v>9</v>
      </c>
      <c r="C53" s="183" t="s">
        <v>41</v>
      </c>
      <c r="D53" s="297">
        <v>20.45</v>
      </c>
      <c r="E53" s="246">
        <v>23.94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710223.34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710223.34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710223.34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710223.34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G81"/>
  <sheetViews>
    <sheetView topLeftCell="A13" zoomScale="78" zoomScaleNormal="78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 customHeight="1">
      <c r="B6" s="354" t="s">
        <v>101</v>
      </c>
      <c r="C6" s="354"/>
      <c r="D6" s="354"/>
      <c r="E6" s="354"/>
    </row>
    <row r="7" spans="2:7" ht="14.25">
      <c r="B7" s="225"/>
      <c r="C7" s="225"/>
      <c r="D7" s="225"/>
      <c r="E7" s="225"/>
    </row>
    <row r="8" spans="2:7" ht="13.5" customHeight="1">
      <c r="B8" s="356" t="s">
        <v>18</v>
      </c>
      <c r="C8" s="358"/>
      <c r="D8" s="358"/>
      <c r="E8" s="358"/>
    </row>
    <row r="9" spans="2:7" ht="16.5" customHeight="1" thickBot="1">
      <c r="B9" s="355" t="s">
        <v>103</v>
      </c>
      <c r="C9" s="355"/>
      <c r="D9" s="355"/>
      <c r="E9" s="355"/>
    </row>
    <row r="10" spans="2:7" ht="13.5" thickBot="1">
      <c r="B10" s="226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721348.93</v>
      </c>
      <c r="E11" s="211">
        <f>SUM(E12:E14)</f>
        <v>822796.99</v>
      </c>
    </row>
    <row r="12" spans="2:7">
      <c r="B12" s="103" t="s">
        <v>4</v>
      </c>
      <c r="C12" s="188" t="s">
        <v>5</v>
      </c>
      <c r="D12" s="271">
        <f>705809.33+15993.15-560.98</f>
        <v>721241.5</v>
      </c>
      <c r="E12" s="216">
        <f>792505.76+28893.59</f>
        <v>821399.35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>
        <f>D15</f>
        <v>107.43</v>
      </c>
      <c r="E14" s="217">
        <f>E15</f>
        <v>1397.64</v>
      </c>
    </row>
    <row r="15" spans="2:7">
      <c r="B15" s="103" t="s">
        <v>106</v>
      </c>
      <c r="C15" s="188" t="s">
        <v>11</v>
      </c>
      <c r="D15" s="272">
        <v>107.43</v>
      </c>
      <c r="E15" s="217">
        <v>1397.64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4094.2</v>
      </c>
      <c r="E17" s="219">
        <f>E18</f>
        <v>1500</v>
      </c>
    </row>
    <row r="18" spans="2:6">
      <c r="B18" s="103" t="s">
        <v>4</v>
      </c>
      <c r="C18" s="188" t="s">
        <v>11</v>
      </c>
      <c r="D18" s="273">
        <v>4094.2</v>
      </c>
      <c r="E18" s="218">
        <v>1500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customHeight="1" thickBot="1">
      <c r="B21" s="362" t="s">
        <v>110</v>
      </c>
      <c r="C21" s="363"/>
      <c r="D21" s="276">
        <f>D11-D17</f>
        <v>717254.7300000001</v>
      </c>
      <c r="E21" s="145">
        <f>E11-E17</f>
        <v>821296.99</v>
      </c>
      <c r="F21" s="74"/>
    </row>
    <row r="22" spans="2:6">
      <c r="B22" s="3"/>
      <c r="C22" s="7"/>
      <c r="D22" s="8"/>
      <c r="E22" s="250"/>
    </row>
    <row r="23" spans="2:6" ht="13.5" customHeight="1">
      <c r="B23" s="356" t="s">
        <v>104</v>
      </c>
      <c r="C23" s="368"/>
      <c r="D23" s="368"/>
      <c r="E23" s="368"/>
    </row>
    <row r="24" spans="2:6" ht="18" customHeight="1" thickBot="1">
      <c r="B24" s="355" t="s">
        <v>105</v>
      </c>
      <c r="C24" s="369"/>
      <c r="D24" s="369"/>
      <c r="E24" s="369"/>
    </row>
    <row r="25" spans="2:6" ht="13.5" thickBot="1">
      <c r="B25" s="226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621815.70000000007</v>
      </c>
      <c r="E26" s="206">
        <f>D21</f>
        <v>717254.7300000001</v>
      </c>
    </row>
    <row r="27" spans="2:6">
      <c r="B27" s="9" t="s">
        <v>17</v>
      </c>
      <c r="C27" s="10" t="s">
        <v>111</v>
      </c>
      <c r="D27" s="285">
        <v>26562.369999999995</v>
      </c>
      <c r="E27" s="240">
        <v>26057.340000000011</v>
      </c>
      <c r="F27" s="70"/>
    </row>
    <row r="28" spans="2:6">
      <c r="B28" s="9" t="s">
        <v>18</v>
      </c>
      <c r="C28" s="10" t="s">
        <v>19</v>
      </c>
      <c r="D28" s="285">
        <v>174108.26</v>
      </c>
      <c r="E28" s="241">
        <v>68388.790000000008</v>
      </c>
      <c r="F28" s="70"/>
    </row>
    <row r="29" spans="2:6">
      <c r="B29" s="101" t="s">
        <v>4</v>
      </c>
      <c r="C29" s="6" t="s">
        <v>20</v>
      </c>
      <c r="D29" s="286">
        <v>69350.8</v>
      </c>
      <c r="E29" s="242">
        <v>64654.9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104757.46</v>
      </c>
      <c r="E31" s="242">
        <v>3733.89</v>
      </c>
      <c r="F31" s="70"/>
    </row>
    <row r="32" spans="2:6">
      <c r="B32" s="89" t="s">
        <v>23</v>
      </c>
      <c r="C32" s="11" t="s">
        <v>24</v>
      </c>
      <c r="D32" s="285">
        <v>147545.89000000001</v>
      </c>
      <c r="E32" s="241">
        <v>42331.45</v>
      </c>
      <c r="F32" s="70"/>
    </row>
    <row r="33" spans="2:6">
      <c r="B33" s="101" t="s">
        <v>4</v>
      </c>
      <c r="C33" s="6" t="s">
        <v>25</v>
      </c>
      <c r="D33" s="286">
        <v>67075.3</v>
      </c>
      <c r="E33" s="242">
        <v>26192.57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6781.33</v>
      </c>
      <c r="E35" s="242">
        <v>6073.99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73689.259999999995</v>
      </c>
      <c r="E39" s="243">
        <v>10064.89</v>
      </c>
      <c r="F39" s="70"/>
    </row>
    <row r="40" spans="2:6" ht="13.5" thickBot="1">
      <c r="B40" s="94" t="s">
        <v>35</v>
      </c>
      <c r="C40" s="95" t="s">
        <v>36</v>
      </c>
      <c r="D40" s="288">
        <v>-38572.129999999997</v>
      </c>
      <c r="E40" s="245">
        <v>77984.92</v>
      </c>
    </row>
    <row r="41" spans="2:6" ht="13.5" thickBot="1">
      <c r="B41" s="96" t="s">
        <v>37</v>
      </c>
      <c r="C41" s="97" t="s">
        <v>38</v>
      </c>
      <c r="D41" s="289">
        <v>609805.94000000006</v>
      </c>
      <c r="E41" s="145">
        <f>E26+E27+E40</f>
        <v>821296.99000000011</v>
      </c>
      <c r="F41" s="74"/>
    </row>
    <row r="42" spans="2:6">
      <c r="B42" s="90"/>
      <c r="C42" s="90"/>
      <c r="D42" s="91"/>
      <c r="E42" s="91"/>
      <c r="F42" s="74"/>
    </row>
    <row r="43" spans="2:6" ht="13.5" customHeight="1">
      <c r="B43" s="357" t="s">
        <v>60</v>
      </c>
      <c r="C43" s="358"/>
      <c r="D43" s="358"/>
      <c r="E43" s="358"/>
    </row>
    <row r="44" spans="2:6" ht="17.25" customHeight="1" thickBot="1">
      <c r="B44" s="355" t="s">
        <v>121</v>
      </c>
      <c r="C44" s="359"/>
      <c r="D44" s="359"/>
      <c r="E44" s="359"/>
    </row>
    <row r="45" spans="2:6" ht="13.5" thickBot="1">
      <c r="B45" s="226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51026.936900000001</v>
      </c>
      <c r="E47" s="300">
        <v>50570.208599999998</v>
      </c>
    </row>
    <row r="48" spans="2:6">
      <c r="B48" s="180" t="s">
        <v>6</v>
      </c>
      <c r="C48" s="181" t="s">
        <v>41</v>
      </c>
      <c r="D48" s="299">
        <v>53440.104700000004</v>
      </c>
      <c r="E48" s="310">
        <v>52293.147900000004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12.186</v>
      </c>
      <c r="E50" s="300">
        <v>14.183300000000001</v>
      </c>
    </row>
    <row r="51" spans="2:5">
      <c r="B51" s="178" t="s">
        <v>6</v>
      </c>
      <c r="C51" s="179" t="s">
        <v>114</v>
      </c>
      <c r="D51" s="299">
        <v>8.6113999999999997</v>
      </c>
      <c r="E51" s="72">
        <v>14.183299999999999</v>
      </c>
    </row>
    <row r="52" spans="2:5" ht="12.75" customHeight="1">
      <c r="B52" s="178" t="s">
        <v>8</v>
      </c>
      <c r="C52" s="179" t="s">
        <v>115</v>
      </c>
      <c r="D52" s="299">
        <v>12.701599999999999</v>
      </c>
      <c r="E52" s="72">
        <v>15.7056</v>
      </c>
    </row>
    <row r="53" spans="2:5" ht="13.5" thickBot="1">
      <c r="B53" s="182" t="s">
        <v>9</v>
      </c>
      <c r="C53" s="183" t="s">
        <v>41</v>
      </c>
      <c r="D53" s="297">
        <v>11.411</v>
      </c>
      <c r="E53" s="246">
        <v>15.705</v>
      </c>
    </row>
    <row r="54" spans="2:5">
      <c r="B54" s="184"/>
      <c r="C54" s="185"/>
      <c r="D54" s="108"/>
      <c r="E54" s="108"/>
    </row>
    <row r="55" spans="2:5" ht="13.5" customHeight="1">
      <c r="B55" s="357" t="s">
        <v>62</v>
      </c>
      <c r="C55" s="366"/>
      <c r="D55" s="366"/>
      <c r="E55" s="366"/>
    </row>
    <row r="56" spans="2:5" ht="15.75" customHeight="1" thickBot="1">
      <c r="B56" s="355" t="s">
        <v>116</v>
      </c>
      <c r="C56" s="367"/>
      <c r="D56" s="367"/>
      <c r="E56" s="367"/>
    </row>
    <row r="57" spans="2:5" ht="23.25" customHeight="1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821399.35</v>
      </c>
      <c r="E58" s="31">
        <f>D58/E21</f>
        <v>1.0001246321382475</v>
      </c>
    </row>
    <row r="59" spans="2:5" ht="25.5">
      <c r="B59" s="311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312" t="s">
        <v>6</v>
      </c>
      <c r="C60" s="179" t="s">
        <v>45</v>
      </c>
      <c r="D60" s="75">
        <v>0</v>
      </c>
      <c r="E60" s="76">
        <v>0</v>
      </c>
    </row>
    <row r="61" spans="2:5">
      <c r="B61" s="312" t="s">
        <v>8</v>
      </c>
      <c r="C61" s="179" t="s">
        <v>46</v>
      </c>
      <c r="D61" s="75">
        <v>0</v>
      </c>
      <c r="E61" s="76">
        <v>0</v>
      </c>
    </row>
    <row r="62" spans="2:5">
      <c r="B62" s="312" t="s">
        <v>9</v>
      </c>
      <c r="C62" s="179" t="s">
        <v>47</v>
      </c>
      <c r="D62" s="75">
        <v>0</v>
      </c>
      <c r="E62" s="76">
        <v>0</v>
      </c>
    </row>
    <row r="63" spans="2:5">
      <c r="B63" s="312" t="s">
        <v>29</v>
      </c>
      <c r="C63" s="179" t="s">
        <v>48</v>
      </c>
      <c r="D63" s="75">
        <v>0</v>
      </c>
      <c r="E63" s="76">
        <v>0</v>
      </c>
    </row>
    <row r="64" spans="2:5">
      <c r="B64" s="311" t="s">
        <v>31</v>
      </c>
      <c r="C64" s="181" t="s">
        <v>49</v>
      </c>
      <c r="D64" s="306">
        <f>792505.76</f>
        <v>792505.76</v>
      </c>
      <c r="E64" s="78">
        <f>D64/E21</f>
        <v>0.96494419150373367</v>
      </c>
    </row>
    <row r="65" spans="2:5">
      <c r="B65" s="311" t="s">
        <v>33</v>
      </c>
      <c r="C65" s="181" t="s">
        <v>118</v>
      </c>
      <c r="D65" s="77">
        <v>0</v>
      </c>
      <c r="E65" s="78">
        <v>0</v>
      </c>
    </row>
    <row r="66" spans="2:5">
      <c r="B66" s="311" t="s">
        <v>50</v>
      </c>
      <c r="C66" s="181" t="s">
        <v>51</v>
      </c>
      <c r="D66" s="77">
        <v>0</v>
      </c>
      <c r="E66" s="78">
        <v>0</v>
      </c>
    </row>
    <row r="67" spans="2:5">
      <c r="B67" s="312" t="s">
        <v>52</v>
      </c>
      <c r="C67" s="179" t="s">
        <v>53</v>
      </c>
      <c r="D67" s="75">
        <v>0</v>
      </c>
      <c r="E67" s="76">
        <v>0</v>
      </c>
    </row>
    <row r="68" spans="2:5">
      <c r="B68" s="312" t="s">
        <v>54</v>
      </c>
      <c r="C68" s="179" t="s">
        <v>55</v>
      </c>
      <c r="D68" s="75">
        <v>0</v>
      </c>
      <c r="E68" s="76">
        <v>0</v>
      </c>
    </row>
    <row r="69" spans="2:5">
      <c r="B69" s="312" t="s">
        <v>56</v>
      </c>
      <c r="C69" s="179" t="s">
        <v>57</v>
      </c>
      <c r="D69" s="298">
        <v>28893.59</v>
      </c>
      <c r="E69" s="76">
        <f>D69/E21</f>
        <v>3.5180440634513956E-2</v>
      </c>
    </row>
    <row r="70" spans="2:5">
      <c r="B70" s="313" t="s">
        <v>58</v>
      </c>
      <c r="C70" s="207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1397.64</v>
      </c>
      <c r="E72" s="116">
        <f>D72/E21</f>
        <v>1.7017473788623044E-3</v>
      </c>
    </row>
    <row r="73" spans="2:5">
      <c r="B73" s="23" t="s">
        <v>62</v>
      </c>
      <c r="C73" s="24" t="s">
        <v>65</v>
      </c>
      <c r="D73" s="25">
        <f>E17</f>
        <v>1500</v>
      </c>
      <c r="E73" s="26">
        <f>D73/E21</f>
        <v>1.8263795171098826E-3</v>
      </c>
    </row>
    <row r="74" spans="2:5">
      <c r="B74" s="117" t="s">
        <v>64</v>
      </c>
      <c r="C74" s="118" t="s">
        <v>66</v>
      </c>
      <c r="D74" s="119">
        <f>D58+D71+D72-D73</f>
        <v>821296.99</v>
      </c>
      <c r="E74" s="65">
        <f>E58+E72-E73</f>
        <v>1</v>
      </c>
    </row>
    <row r="75" spans="2:5">
      <c r="B75" s="312" t="s">
        <v>4</v>
      </c>
      <c r="C75" s="179" t="s">
        <v>67</v>
      </c>
      <c r="D75" s="75">
        <f>D74</f>
        <v>821296.99</v>
      </c>
      <c r="E75" s="76">
        <f>E74</f>
        <v>1</v>
      </c>
    </row>
    <row r="76" spans="2:5">
      <c r="B76" s="312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314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2" right="0.75" top="0.6" bottom="0.4" header="0.5" footer="0.5"/>
  <pageSetup paperSize="9" scale="70" orientation="portrait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0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14.25">
      <c r="B5" s="353" t="s">
        <v>1</v>
      </c>
      <c r="C5" s="353"/>
      <c r="D5" s="353"/>
      <c r="E5" s="353"/>
    </row>
    <row r="6" spans="2:5" ht="14.25">
      <c r="B6" s="354" t="s">
        <v>203</v>
      </c>
      <c r="C6" s="354"/>
      <c r="D6" s="354"/>
      <c r="E6" s="354"/>
    </row>
    <row r="7" spans="2:5" ht="14.25">
      <c r="B7" s="158"/>
      <c r="C7" s="158"/>
      <c r="D7" s="158"/>
      <c r="E7" s="158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59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115854.54</v>
      </c>
      <c r="E11" s="211">
        <f>SUM(E12:E14)</f>
        <v>127858.12</v>
      </c>
    </row>
    <row r="12" spans="2:5">
      <c r="B12" s="167" t="s">
        <v>4</v>
      </c>
      <c r="C12" s="168" t="s">
        <v>5</v>
      </c>
      <c r="D12" s="271">
        <v>115854.54</v>
      </c>
      <c r="E12" s="216">
        <v>127858.12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115854.54</v>
      </c>
      <c r="E21" s="145">
        <f>E11-E17</f>
        <v>127858.12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1707497.05</v>
      </c>
      <c r="E26" s="206">
        <f>D21</f>
        <v>115854.54</v>
      </c>
    </row>
    <row r="27" spans="2:6">
      <c r="B27" s="9" t="s">
        <v>17</v>
      </c>
      <c r="C27" s="10" t="s">
        <v>111</v>
      </c>
      <c r="D27" s="285">
        <v>-1527972.51</v>
      </c>
      <c r="E27" s="240">
        <v>-1424.51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1527972.51</v>
      </c>
      <c r="E32" s="241">
        <v>1424.51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583.35</v>
      </c>
      <c r="E35" s="242">
        <v>445.39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6153.55</v>
      </c>
      <c r="E37" s="242">
        <v>979.12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1521235.61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-84546.73</v>
      </c>
      <c r="E40" s="245">
        <v>13428.09</v>
      </c>
    </row>
    <row r="41" spans="2:6" ht="13.5" thickBot="1">
      <c r="B41" s="96" t="s">
        <v>37</v>
      </c>
      <c r="C41" s="97" t="s">
        <v>38</v>
      </c>
      <c r="D41" s="289">
        <v>94977.810000000041</v>
      </c>
      <c r="E41" s="145">
        <f>E26+E27+E40</f>
        <v>127858.12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132879.14799999999</v>
      </c>
      <c r="E47" s="146">
        <v>8383.107</v>
      </c>
    </row>
    <row r="48" spans="2:6">
      <c r="B48" s="180" t="s">
        <v>6</v>
      </c>
      <c r="C48" s="181" t="s">
        <v>41</v>
      </c>
      <c r="D48" s="299">
        <v>8495.3320000000003</v>
      </c>
      <c r="E48" s="146">
        <v>8286.3330000000005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12.85</v>
      </c>
      <c r="E50" s="146">
        <v>13.82</v>
      </c>
    </row>
    <row r="51" spans="2:5">
      <c r="B51" s="178" t="s">
        <v>6</v>
      </c>
      <c r="C51" s="179" t="s">
        <v>114</v>
      </c>
      <c r="D51" s="299">
        <v>8.6999999999999993</v>
      </c>
      <c r="E51" s="72">
        <v>13.77</v>
      </c>
    </row>
    <row r="52" spans="2:5">
      <c r="B52" s="178" t="s">
        <v>8</v>
      </c>
      <c r="C52" s="179" t="s">
        <v>115</v>
      </c>
      <c r="D52" s="299">
        <v>13.28</v>
      </c>
      <c r="E52" s="72">
        <v>15.47</v>
      </c>
    </row>
    <row r="53" spans="2:5" ht="13.5" thickBot="1">
      <c r="B53" s="182" t="s">
        <v>9</v>
      </c>
      <c r="C53" s="183" t="s">
        <v>41</v>
      </c>
      <c r="D53" s="297">
        <v>11.18</v>
      </c>
      <c r="E53" s="246">
        <v>15.43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127858.12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127858.12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127858.12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127858.12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1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14.25">
      <c r="B5" s="353" t="s">
        <v>1</v>
      </c>
      <c r="C5" s="353"/>
      <c r="D5" s="353"/>
      <c r="E5" s="353"/>
    </row>
    <row r="6" spans="2:5" ht="14.25">
      <c r="B6" s="354" t="s">
        <v>204</v>
      </c>
      <c r="C6" s="354"/>
      <c r="D6" s="354"/>
      <c r="E6" s="354"/>
    </row>
    <row r="7" spans="2:5" ht="14.25">
      <c r="B7" s="191"/>
      <c r="C7" s="191"/>
      <c r="D7" s="191"/>
      <c r="E7" s="191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92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548513.01</v>
      </c>
      <c r="E11" s="211">
        <f>SUM(E12:E14)</f>
        <v>556467.36</v>
      </c>
    </row>
    <row r="12" spans="2:5">
      <c r="B12" s="167" t="s">
        <v>4</v>
      </c>
      <c r="C12" s="168" t="s">
        <v>5</v>
      </c>
      <c r="D12" s="271">
        <v>548513.01</v>
      </c>
      <c r="E12" s="216">
        <v>556467.36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548513.01</v>
      </c>
      <c r="E21" s="145">
        <f>E11-E17</f>
        <v>556467.36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1389309.54</v>
      </c>
      <c r="E26" s="206">
        <f>D21</f>
        <v>548513.01</v>
      </c>
    </row>
    <row r="27" spans="2:6">
      <c r="B27" s="9" t="s">
        <v>17</v>
      </c>
      <c r="C27" s="10" t="s">
        <v>111</v>
      </c>
      <c r="D27" s="285">
        <v>-788769.37</v>
      </c>
      <c r="E27" s="240">
        <v>-4684.09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788769.37</v>
      </c>
      <c r="E32" s="241">
        <v>4684.09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1049.21</v>
      </c>
      <c r="E35" s="242">
        <v>283.10000000000002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7497.65</v>
      </c>
      <c r="E37" s="242">
        <v>4400.99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780222.51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-45965.26</v>
      </c>
      <c r="E40" s="245">
        <v>12638.44</v>
      </c>
    </row>
    <row r="41" spans="2:6" ht="13.5" thickBot="1">
      <c r="B41" s="96" t="s">
        <v>37</v>
      </c>
      <c r="C41" s="97" t="s">
        <v>38</v>
      </c>
      <c r="D41" s="289">
        <v>554574.91</v>
      </c>
      <c r="E41" s="145">
        <f>E26+E27+E40</f>
        <v>556467.36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114818.97</v>
      </c>
      <c r="E47" s="146">
        <v>45369.148999999998</v>
      </c>
    </row>
    <row r="48" spans="2:6">
      <c r="B48" s="180" t="s">
        <v>6</v>
      </c>
      <c r="C48" s="181" t="s">
        <v>41</v>
      </c>
      <c r="D48" s="299">
        <v>49693.091999999997</v>
      </c>
      <c r="E48" s="146">
        <v>44985.235000000001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12.1</v>
      </c>
      <c r="E50" s="146">
        <v>12.09</v>
      </c>
    </row>
    <row r="51" spans="2:5">
      <c r="B51" s="178" t="s">
        <v>6</v>
      </c>
      <c r="C51" s="179" t="s">
        <v>114</v>
      </c>
      <c r="D51" s="299">
        <v>9.7100000000000009</v>
      </c>
      <c r="E51" s="72">
        <v>12.06</v>
      </c>
    </row>
    <row r="52" spans="2:5">
      <c r="B52" s="178" t="s">
        <v>8</v>
      </c>
      <c r="C52" s="179" t="s">
        <v>115</v>
      </c>
      <c r="D52" s="299">
        <v>12.3</v>
      </c>
      <c r="E52" s="72">
        <v>12.38</v>
      </c>
    </row>
    <row r="53" spans="2:5" ht="13.5" thickBot="1">
      <c r="B53" s="182" t="s">
        <v>9</v>
      </c>
      <c r="C53" s="183" t="s">
        <v>41</v>
      </c>
      <c r="D53" s="297">
        <v>11.16</v>
      </c>
      <c r="E53" s="246">
        <v>12.37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556467.36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556467.36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556467.36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556467.36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2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205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20567.25</v>
      </c>
      <c r="E11" s="211">
        <f>SUM(E12:E14)</f>
        <v>3005.51</v>
      </c>
    </row>
    <row r="12" spans="2:5">
      <c r="B12" s="167" t="s">
        <v>4</v>
      </c>
      <c r="C12" s="168" t="s">
        <v>5</v>
      </c>
      <c r="D12" s="271">
        <v>20567.25</v>
      </c>
      <c r="E12" s="216">
        <v>3005.51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20567.25</v>
      </c>
      <c r="E21" s="145">
        <f>E11-E17</f>
        <v>3005.51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117066.88</v>
      </c>
      <c r="E26" s="206">
        <f>D21</f>
        <v>20567.25</v>
      </c>
    </row>
    <row r="27" spans="2:6">
      <c r="B27" s="9" t="s">
        <v>17</v>
      </c>
      <c r="C27" s="10" t="s">
        <v>111</v>
      </c>
      <c r="D27" s="285">
        <v>-112400.84</v>
      </c>
      <c r="E27" s="240">
        <v>-18266.080000000002</v>
      </c>
      <c r="F27" s="70"/>
    </row>
    <row r="28" spans="2:6">
      <c r="B28" s="9" t="s">
        <v>18</v>
      </c>
      <c r="C28" s="10" t="s">
        <v>19</v>
      </c>
      <c r="D28" s="285">
        <v>31500.5</v>
      </c>
      <c r="E28" s="241">
        <v>69.12</v>
      </c>
      <c r="F28" s="70"/>
    </row>
    <row r="29" spans="2:6">
      <c r="B29" s="175" t="s">
        <v>4</v>
      </c>
      <c r="C29" s="168" t="s">
        <v>20</v>
      </c>
      <c r="D29" s="286">
        <v>229.41</v>
      </c>
      <c r="E29" s="242">
        <v>69.12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31271.09</v>
      </c>
      <c r="E31" s="242"/>
      <c r="F31" s="70"/>
    </row>
    <row r="32" spans="2:6">
      <c r="B32" s="89" t="s">
        <v>23</v>
      </c>
      <c r="C32" s="11" t="s">
        <v>24</v>
      </c>
      <c r="D32" s="285">
        <v>143901.34</v>
      </c>
      <c r="E32" s="241">
        <v>18335.2</v>
      </c>
      <c r="F32" s="70"/>
    </row>
    <row r="33" spans="2:6">
      <c r="B33" s="175" t="s">
        <v>4</v>
      </c>
      <c r="C33" s="168" t="s">
        <v>25</v>
      </c>
      <c r="D33" s="286">
        <v>820.76</v>
      </c>
      <c r="E33" s="242">
        <v>96.99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66.540000000000006</v>
      </c>
      <c r="E35" s="242">
        <v>18.93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112.41</v>
      </c>
      <c r="E37" s="242">
        <v>39.9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142901.63</v>
      </c>
      <c r="E39" s="243">
        <v>18179.379999999997</v>
      </c>
      <c r="F39" s="70"/>
    </row>
    <row r="40" spans="2:6" ht="13.5" thickBot="1">
      <c r="B40" s="94" t="s">
        <v>35</v>
      </c>
      <c r="C40" s="95" t="s">
        <v>36</v>
      </c>
      <c r="D40" s="288">
        <v>-1979.9</v>
      </c>
      <c r="E40" s="245">
        <v>704.34</v>
      </c>
    </row>
    <row r="41" spans="2:6" ht="13.5" thickBot="1">
      <c r="B41" s="96" t="s">
        <v>37</v>
      </c>
      <c r="C41" s="97" t="s">
        <v>38</v>
      </c>
      <c r="D41" s="289">
        <v>2686.1400000000081</v>
      </c>
      <c r="E41" s="145">
        <f>E26+E27+E40</f>
        <v>3005.5099999999984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1015.9410000000001</v>
      </c>
      <c r="E47" s="146">
        <v>185.37400000000002</v>
      </c>
    </row>
    <row r="48" spans="2:6">
      <c r="B48" s="180" t="s">
        <v>6</v>
      </c>
      <c r="C48" s="181" t="s">
        <v>41</v>
      </c>
      <c r="D48" s="299">
        <v>27.777999999999999</v>
      </c>
      <c r="E48" s="146">
        <v>25.047999999999998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115.23</v>
      </c>
      <c r="E50" s="146">
        <v>110.95</v>
      </c>
    </row>
    <row r="51" spans="2:5">
      <c r="B51" s="178" t="s">
        <v>6</v>
      </c>
      <c r="C51" s="179" t="s">
        <v>114</v>
      </c>
      <c r="D51" s="299">
        <v>77.8</v>
      </c>
      <c r="E51" s="146">
        <v>109.45</v>
      </c>
    </row>
    <row r="52" spans="2:5">
      <c r="B52" s="178" t="s">
        <v>8</v>
      </c>
      <c r="C52" s="179" t="s">
        <v>115</v>
      </c>
      <c r="D52" s="299">
        <v>119.11</v>
      </c>
      <c r="E52" s="72">
        <v>122.24</v>
      </c>
    </row>
    <row r="53" spans="2:5" ht="13.5" customHeight="1" thickBot="1">
      <c r="B53" s="182" t="s">
        <v>9</v>
      </c>
      <c r="C53" s="183" t="s">
        <v>41</v>
      </c>
      <c r="D53" s="297">
        <v>96.7</v>
      </c>
      <c r="E53" s="246">
        <v>119.99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3005.51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3005.51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3005.51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3005.51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3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206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520801.38999999996</v>
      </c>
      <c r="E11" s="211">
        <f>SUM(E12:E14)</f>
        <v>442958.38</v>
      </c>
    </row>
    <row r="12" spans="2:5">
      <c r="B12" s="167" t="s">
        <v>4</v>
      </c>
      <c r="C12" s="168" t="s">
        <v>5</v>
      </c>
      <c r="D12" s="271">
        <v>520801.38999999996</v>
      </c>
      <c r="E12" s="216">
        <v>442958.38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520801.38999999996</v>
      </c>
      <c r="E21" s="145">
        <f>E11-E17</f>
        <v>442958.38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530572.31000000006</v>
      </c>
      <c r="E26" s="206">
        <f>D21</f>
        <v>520801.38999999996</v>
      </c>
    </row>
    <row r="27" spans="2:6">
      <c r="B27" s="9" t="s">
        <v>17</v>
      </c>
      <c r="C27" s="10" t="s">
        <v>111</v>
      </c>
      <c r="D27" s="285">
        <v>-31614.559999999994</v>
      </c>
      <c r="E27" s="240">
        <v>-70631.95</v>
      </c>
      <c r="F27" s="70"/>
    </row>
    <row r="28" spans="2:6">
      <c r="B28" s="9" t="s">
        <v>18</v>
      </c>
      <c r="C28" s="10" t="s">
        <v>19</v>
      </c>
      <c r="D28" s="285">
        <v>20489.7</v>
      </c>
      <c r="E28" s="241">
        <v>11316.5</v>
      </c>
      <c r="F28" s="70"/>
    </row>
    <row r="29" spans="2:6">
      <c r="B29" s="175" t="s">
        <v>4</v>
      </c>
      <c r="C29" s="168" t="s">
        <v>20</v>
      </c>
      <c r="D29" s="286">
        <v>14419.59</v>
      </c>
      <c r="E29" s="242">
        <v>10947.4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6070.11</v>
      </c>
      <c r="E31" s="242">
        <v>369.1</v>
      </c>
      <c r="F31" s="70"/>
    </row>
    <row r="32" spans="2:6">
      <c r="B32" s="89" t="s">
        <v>23</v>
      </c>
      <c r="C32" s="11" t="s">
        <v>24</v>
      </c>
      <c r="D32" s="285">
        <v>52104.259999999995</v>
      </c>
      <c r="E32" s="241">
        <v>81948.45</v>
      </c>
      <c r="F32" s="70"/>
    </row>
    <row r="33" spans="2:6">
      <c r="B33" s="175" t="s">
        <v>4</v>
      </c>
      <c r="C33" s="168" t="s">
        <v>25</v>
      </c>
      <c r="D33" s="286">
        <v>5777.6900000000005</v>
      </c>
      <c r="E33" s="242">
        <v>66410.840000000011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1404.84</v>
      </c>
      <c r="E35" s="242">
        <v>1148.6600000000001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3965.35</v>
      </c>
      <c r="E37" s="242">
        <v>3681.81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40956.379999999997</v>
      </c>
      <c r="E39" s="243">
        <v>10707.14</v>
      </c>
      <c r="F39" s="70"/>
    </row>
    <row r="40" spans="2:6" ht="13.5" thickBot="1">
      <c r="B40" s="94" t="s">
        <v>35</v>
      </c>
      <c r="C40" s="95" t="s">
        <v>36</v>
      </c>
      <c r="D40" s="288">
        <v>11810.36</v>
      </c>
      <c r="E40" s="245">
        <v>-7211.06</v>
      </c>
    </row>
    <row r="41" spans="2:6" ht="13.5" thickBot="1">
      <c r="B41" s="96" t="s">
        <v>37</v>
      </c>
      <c r="C41" s="97" t="s">
        <v>38</v>
      </c>
      <c r="D41" s="289">
        <v>510768.11000000004</v>
      </c>
      <c r="E41" s="145">
        <f>E26+E27+E40</f>
        <v>442958.37999999995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2428.5819999999999</v>
      </c>
      <c r="E47" s="146">
        <v>2293.6730000000002</v>
      </c>
    </row>
    <row r="48" spans="2:6">
      <c r="B48" s="180" t="s">
        <v>6</v>
      </c>
      <c r="C48" s="181" t="s">
        <v>41</v>
      </c>
      <c r="D48" s="299">
        <v>2286.6460000000002</v>
      </c>
      <c r="E48" s="146">
        <v>1980.6759999999999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218.47</v>
      </c>
      <c r="E50" s="146">
        <v>227.06</v>
      </c>
    </row>
    <row r="51" spans="2:5">
      <c r="B51" s="178" t="s">
        <v>6</v>
      </c>
      <c r="C51" s="179" t="s">
        <v>114</v>
      </c>
      <c r="D51" s="299">
        <v>215.49</v>
      </c>
      <c r="E51" s="146">
        <v>222.57</v>
      </c>
    </row>
    <row r="52" spans="2:5">
      <c r="B52" s="178" t="s">
        <v>8</v>
      </c>
      <c r="C52" s="179" t="s">
        <v>115</v>
      </c>
      <c r="D52" s="299">
        <v>223.62</v>
      </c>
      <c r="E52" s="72">
        <v>227.72</v>
      </c>
    </row>
    <row r="53" spans="2:5" ht="13.5" thickBot="1">
      <c r="B53" s="182" t="s">
        <v>9</v>
      </c>
      <c r="C53" s="183" t="s">
        <v>41</v>
      </c>
      <c r="D53" s="297">
        <v>223.37</v>
      </c>
      <c r="E53" s="246">
        <v>223.64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442958.38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24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442958.38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442958.38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442958.38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56000000000000005" bottom="0.59" header="0.5" footer="0.5"/>
  <pageSetup paperSize="9" scale="70" orientation="portrait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4"/>
  <dimension ref="A1:F81"/>
  <sheetViews>
    <sheetView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207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136870.95000000001</v>
      </c>
      <c r="E11" s="211">
        <f>SUM(E12:E14)</f>
        <v>149152.81</v>
      </c>
    </row>
    <row r="12" spans="2:5">
      <c r="B12" s="167" t="s">
        <v>4</v>
      </c>
      <c r="C12" s="168" t="s">
        <v>5</v>
      </c>
      <c r="D12" s="271">
        <v>136870.95000000001</v>
      </c>
      <c r="E12" s="216">
        <v>149152.81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136870.95000000001</v>
      </c>
      <c r="E21" s="145">
        <f>E11-E17</f>
        <v>149152.81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147532.22</v>
      </c>
      <c r="E26" s="206">
        <f>D21</f>
        <v>136870.95000000001</v>
      </c>
    </row>
    <row r="27" spans="2:6">
      <c r="B27" s="9" t="s">
        <v>17</v>
      </c>
      <c r="C27" s="10" t="s">
        <v>111</v>
      </c>
      <c r="D27" s="285">
        <v>-11625.400000000001</v>
      </c>
      <c r="E27" s="240">
        <v>5660.39</v>
      </c>
      <c r="F27" s="70"/>
    </row>
    <row r="28" spans="2:6">
      <c r="B28" s="9" t="s">
        <v>18</v>
      </c>
      <c r="C28" s="10" t="s">
        <v>19</v>
      </c>
      <c r="D28" s="285">
        <v>10990.86</v>
      </c>
      <c r="E28" s="241">
        <v>10723.29</v>
      </c>
      <c r="F28" s="70"/>
    </row>
    <row r="29" spans="2:6">
      <c r="B29" s="175" t="s">
        <v>4</v>
      </c>
      <c r="C29" s="168" t="s">
        <v>20</v>
      </c>
      <c r="D29" s="286">
        <v>10990.86</v>
      </c>
      <c r="E29" s="242">
        <v>10723.29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22616.260000000002</v>
      </c>
      <c r="E32" s="241">
        <v>5062.8999999999996</v>
      </c>
      <c r="F32" s="70"/>
    </row>
    <row r="33" spans="2:6">
      <c r="B33" s="175" t="s">
        <v>4</v>
      </c>
      <c r="C33" s="168" t="s">
        <v>25</v>
      </c>
      <c r="D33" s="286">
        <v>15540.869999999999</v>
      </c>
      <c r="E33" s="242">
        <v>3707.02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1063.8399999999999</v>
      </c>
      <c r="E35" s="242">
        <v>862.49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474.56</v>
      </c>
      <c r="E37" s="242">
        <v>493.39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5536.99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-8476.58</v>
      </c>
      <c r="E40" s="245">
        <v>6621.47</v>
      </c>
    </row>
    <row r="41" spans="2:6" ht="13.5" thickBot="1">
      <c r="B41" s="96" t="s">
        <v>37</v>
      </c>
      <c r="C41" s="97" t="s">
        <v>38</v>
      </c>
      <c r="D41" s="289">
        <v>127430.24</v>
      </c>
      <c r="E41" s="145">
        <f>E26+E27+E40</f>
        <v>149152.81000000003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914.81499999999994</v>
      </c>
      <c r="E47" s="331">
        <v>844.25699999999995</v>
      </c>
    </row>
    <row r="48" spans="2:6">
      <c r="B48" s="180" t="s">
        <v>6</v>
      </c>
      <c r="C48" s="181" t="s">
        <v>41</v>
      </c>
      <c r="D48" s="299">
        <v>830.48900000000003</v>
      </c>
      <c r="E48" s="331">
        <v>879.75</v>
      </c>
    </row>
    <row r="49" spans="2:5">
      <c r="B49" s="117" t="s">
        <v>23</v>
      </c>
      <c r="C49" s="121" t="s">
        <v>113</v>
      </c>
      <c r="D49" s="302"/>
      <c r="E49" s="293"/>
    </row>
    <row r="50" spans="2:5">
      <c r="B50" s="178" t="s">
        <v>4</v>
      </c>
      <c r="C50" s="179" t="s">
        <v>40</v>
      </c>
      <c r="D50" s="299">
        <v>161.27000000000001</v>
      </c>
      <c r="E50" s="332">
        <v>162.12</v>
      </c>
    </row>
    <row r="51" spans="2:5">
      <c r="B51" s="178" t="s">
        <v>6</v>
      </c>
      <c r="C51" s="179" t="s">
        <v>114</v>
      </c>
      <c r="D51" s="299">
        <v>138.05000000000001</v>
      </c>
      <c r="E51" s="304">
        <v>161.16999999999999</v>
      </c>
    </row>
    <row r="52" spans="2:5">
      <c r="B52" s="178" t="s">
        <v>8</v>
      </c>
      <c r="C52" s="179" t="s">
        <v>115</v>
      </c>
      <c r="D52" s="299">
        <v>162.4</v>
      </c>
      <c r="E52" s="304">
        <v>171.05</v>
      </c>
    </row>
    <row r="53" spans="2:5" ht="13.5" customHeight="1" thickBot="1">
      <c r="B53" s="182" t="s">
        <v>9</v>
      </c>
      <c r="C53" s="183" t="s">
        <v>41</v>
      </c>
      <c r="D53" s="297">
        <v>153.44</v>
      </c>
      <c r="E53" s="246">
        <v>169.54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149152.81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4.2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149152.81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149152.81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149152.81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5000000000000004" bottom="0.46" header="0.5" footer="0.5"/>
  <pageSetup paperSize="9" scale="70" orientation="portrait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5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208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17248.93</v>
      </c>
      <c r="E11" s="211">
        <f>SUM(E12:E14)</f>
        <v>15958.7</v>
      </c>
    </row>
    <row r="12" spans="2:5">
      <c r="B12" s="167" t="s">
        <v>4</v>
      </c>
      <c r="C12" s="168" t="s">
        <v>5</v>
      </c>
      <c r="D12" s="271">
        <v>17248.93</v>
      </c>
      <c r="E12" s="216">
        <v>15958.7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17248.93</v>
      </c>
      <c r="E21" s="145">
        <f>E11-E17</f>
        <v>15958.7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16934.560000000001</v>
      </c>
      <c r="E26" s="206">
        <f>D21</f>
        <v>17248.93</v>
      </c>
    </row>
    <row r="27" spans="2:6">
      <c r="B27" s="9" t="s">
        <v>17</v>
      </c>
      <c r="C27" s="10" t="s">
        <v>111</v>
      </c>
      <c r="D27" s="285">
        <v>-1580.58</v>
      </c>
      <c r="E27" s="240">
        <v>-2597.77</v>
      </c>
      <c r="F27" s="70"/>
    </row>
    <row r="28" spans="2:6">
      <c r="B28" s="9" t="s">
        <v>18</v>
      </c>
      <c r="C28" s="10" t="s">
        <v>19</v>
      </c>
      <c r="D28" s="285">
        <v>2424.75</v>
      </c>
      <c r="E28" s="241">
        <v>2151.91</v>
      </c>
      <c r="F28" s="70"/>
    </row>
    <row r="29" spans="2:6">
      <c r="B29" s="175" t="s">
        <v>4</v>
      </c>
      <c r="C29" s="168" t="s">
        <v>20</v>
      </c>
      <c r="D29" s="286">
        <v>2424.75</v>
      </c>
      <c r="E29" s="242">
        <v>2151.91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4005.33</v>
      </c>
      <c r="E32" s="241">
        <v>4749.68</v>
      </c>
      <c r="F32" s="70"/>
    </row>
    <row r="33" spans="2:6">
      <c r="B33" s="175" t="s">
        <v>4</v>
      </c>
      <c r="C33" s="168" t="s">
        <v>25</v>
      </c>
      <c r="D33" s="286">
        <v>767.47</v>
      </c>
      <c r="E33" s="242">
        <v>4448.4400000000005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137.82</v>
      </c>
      <c r="E35" s="242">
        <v>136.07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72.010000000000005</v>
      </c>
      <c r="E37" s="242">
        <v>96.29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3028.03</v>
      </c>
      <c r="E39" s="243">
        <v>68.88</v>
      </c>
      <c r="F39" s="70"/>
    </row>
    <row r="40" spans="2:6" ht="13.5" thickBot="1">
      <c r="B40" s="94" t="s">
        <v>35</v>
      </c>
      <c r="C40" s="95" t="s">
        <v>36</v>
      </c>
      <c r="D40" s="288">
        <v>-1264.3699999999999</v>
      </c>
      <c r="E40" s="245">
        <v>1307.54</v>
      </c>
    </row>
    <row r="41" spans="2:6" ht="13.5" thickBot="1">
      <c r="B41" s="96" t="s">
        <v>37</v>
      </c>
      <c r="C41" s="97" t="s">
        <v>38</v>
      </c>
      <c r="D41" s="289">
        <v>14089.61</v>
      </c>
      <c r="E41" s="145">
        <f>E26+E27+E40</f>
        <v>15958.7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123.854</v>
      </c>
      <c r="E47" s="146">
        <v>127.383</v>
      </c>
    </row>
    <row r="48" spans="2:6">
      <c r="B48" s="180" t="s">
        <v>6</v>
      </c>
      <c r="C48" s="181" t="s">
        <v>41</v>
      </c>
      <c r="D48" s="299">
        <v>112.465</v>
      </c>
      <c r="E48" s="146">
        <v>109.179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136.72999999999999</v>
      </c>
      <c r="E50" s="146">
        <v>135.41</v>
      </c>
    </row>
    <row r="51" spans="2:5">
      <c r="B51" s="178" t="s">
        <v>6</v>
      </c>
      <c r="C51" s="179" t="s">
        <v>114</v>
      </c>
      <c r="D51" s="299">
        <v>106.65</v>
      </c>
      <c r="E51" s="146">
        <v>134.34</v>
      </c>
    </row>
    <row r="52" spans="2:5">
      <c r="B52" s="178" t="s">
        <v>8</v>
      </c>
      <c r="C52" s="179" t="s">
        <v>115</v>
      </c>
      <c r="D52" s="299">
        <v>138.30000000000001</v>
      </c>
      <c r="E52" s="72">
        <v>148.26</v>
      </c>
    </row>
    <row r="53" spans="2:5" ht="12.75" customHeight="1" thickBot="1">
      <c r="B53" s="182" t="s">
        <v>9</v>
      </c>
      <c r="C53" s="183" t="s">
        <v>41</v>
      </c>
      <c r="D53" s="297">
        <v>125.28</v>
      </c>
      <c r="E53" s="246">
        <v>146.16999999999999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15958.7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15958.7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15958.7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15958.7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59" bottom="0.49" header="0.5" footer="0.5"/>
  <pageSetup paperSize="9" scale="70" orientation="portrait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6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8"/>
      <c r="C4" s="138"/>
      <c r="D4" s="138"/>
      <c r="E4" s="138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209</v>
      </c>
      <c r="C6" s="354"/>
      <c r="D6" s="354"/>
      <c r="E6" s="354"/>
    </row>
    <row r="7" spans="2:7" ht="14.25">
      <c r="B7" s="136"/>
      <c r="C7" s="136"/>
      <c r="D7" s="136"/>
      <c r="E7" s="13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7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53874.05</v>
      </c>
      <c r="E11" s="211">
        <f>SUM(E12:E14)</f>
        <v>61326.73</v>
      </c>
    </row>
    <row r="12" spans="2:7">
      <c r="B12" s="167" t="s">
        <v>4</v>
      </c>
      <c r="C12" s="168" t="s">
        <v>5</v>
      </c>
      <c r="D12" s="271">
        <v>53874.05</v>
      </c>
      <c r="E12" s="216">
        <v>61326.73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53874.05</v>
      </c>
      <c r="E21" s="145">
        <f>E11-E17</f>
        <v>61326.73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73412.56</v>
      </c>
      <c r="E26" s="206">
        <f>D21</f>
        <v>53874.05</v>
      </c>
    </row>
    <row r="27" spans="2:6">
      <c r="B27" s="9" t="s">
        <v>17</v>
      </c>
      <c r="C27" s="10" t="s">
        <v>111</v>
      </c>
      <c r="D27" s="285">
        <v>-13325.71</v>
      </c>
      <c r="E27" s="240">
        <v>-211.16</v>
      </c>
      <c r="F27" s="70"/>
    </row>
    <row r="28" spans="2:6">
      <c r="B28" s="9" t="s">
        <v>18</v>
      </c>
      <c r="C28" s="10" t="s">
        <v>19</v>
      </c>
      <c r="D28" s="285">
        <v>47936.54</v>
      </c>
      <c r="E28" s="242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47936.54</v>
      </c>
      <c r="E31" s="242"/>
      <c r="F31" s="70"/>
    </row>
    <row r="32" spans="2:6">
      <c r="B32" s="89" t="s">
        <v>23</v>
      </c>
      <c r="C32" s="11" t="s">
        <v>24</v>
      </c>
      <c r="D32" s="285">
        <v>61262.25</v>
      </c>
      <c r="E32" s="241">
        <v>211.16</v>
      </c>
      <c r="F32" s="70"/>
    </row>
    <row r="33" spans="2:6">
      <c r="B33" s="175" t="s">
        <v>4</v>
      </c>
      <c r="C33" s="168" t="s">
        <v>25</v>
      </c>
      <c r="D33" s="286">
        <v>12483.06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376.94</v>
      </c>
      <c r="E35" s="242">
        <v>211.16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485.29</v>
      </c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47916.959999999999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-12726.16</v>
      </c>
      <c r="E40" s="245">
        <v>7663.84</v>
      </c>
    </row>
    <row r="41" spans="2:6" ht="13.5" thickBot="1">
      <c r="B41" s="96" t="s">
        <v>37</v>
      </c>
      <c r="C41" s="97" t="s">
        <v>38</v>
      </c>
      <c r="D41" s="289">
        <v>47360.69</v>
      </c>
      <c r="E41" s="145">
        <f>E26+E27+E40</f>
        <v>61326.729999999996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766.07069999999999</v>
      </c>
      <c r="E47" s="146">
        <v>954.70579999999995</v>
      </c>
    </row>
    <row r="48" spans="2:6">
      <c r="B48" s="180" t="s">
        <v>6</v>
      </c>
      <c r="C48" s="181" t="s">
        <v>41</v>
      </c>
      <c r="D48" s="299">
        <v>958.71849999999995</v>
      </c>
      <c r="E48" s="146">
        <v>951.24450000000002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95.83</v>
      </c>
      <c r="E50" s="146">
        <v>56.43</v>
      </c>
    </row>
    <row r="51" spans="2:5">
      <c r="B51" s="178" t="s">
        <v>6</v>
      </c>
      <c r="C51" s="179" t="s">
        <v>114</v>
      </c>
      <c r="D51" s="299">
        <v>49.4</v>
      </c>
      <c r="E51" s="146">
        <v>56.33</v>
      </c>
    </row>
    <row r="52" spans="2:5">
      <c r="B52" s="178" t="s">
        <v>8</v>
      </c>
      <c r="C52" s="179" t="s">
        <v>115</v>
      </c>
      <c r="D52" s="299">
        <v>50.94</v>
      </c>
      <c r="E52" s="72">
        <v>65.849999999999994</v>
      </c>
    </row>
    <row r="53" spans="2:5" ht="14.25" customHeight="1" thickBot="1">
      <c r="B53" s="182" t="s">
        <v>9</v>
      </c>
      <c r="C53" s="183" t="s">
        <v>41</v>
      </c>
      <c r="D53" s="297">
        <v>49.4</v>
      </c>
      <c r="E53" s="246">
        <v>64.47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61326.73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61326.73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61326.73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61326.73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7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8"/>
      <c r="C4" s="138"/>
      <c r="D4" s="138"/>
      <c r="E4" s="138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210</v>
      </c>
      <c r="C6" s="354"/>
      <c r="D6" s="354"/>
      <c r="E6" s="354"/>
    </row>
    <row r="7" spans="2:7" ht="14.25">
      <c r="B7" s="136"/>
      <c r="C7" s="136"/>
      <c r="D7" s="136"/>
      <c r="E7" s="13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7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573324.35</v>
      </c>
      <c r="E11" s="211">
        <f>SUM(E12:E14)</f>
        <v>623535.6</v>
      </c>
    </row>
    <row r="12" spans="2:7">
      <c r="B12" s="167" t="s">
        <v>4</v>
      </c>
      <c r="C12" s="168" t="s">
        <v>5</v>
      </c>
      <c r="D12" s="271">
        <v>573324.35</v>
      </c>
      <c r="E12" s="216">
        <v>623535.6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573324.35</v>
      </c>
      <c r="E21" s="145">
        <f>E11-E17</f>
        <v>623535.6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650949.53</v>
      </c>
      <c r="E26" s="206">
        <f>D21</f>
        <v>573324.35</v>
      </c>
    </row>
    <row r="27" spans="2:6">
      <c r="B27" s="9" t="s">
        <v>17</v>
      </c>
      <c r="C27" s="10" t="s">
        <v>111</v>
      </c>
      <c r="D27" s="285">
        <v>-5116.88</v>
      </c>
      <c r="E27" s="240">
        <v>-4869.9800000000005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5116.8799999999992</v>
      </c>
      <c r="E32" s="241">
        <v>4869.9800000000005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607.19000000000005</v>
      </c>
      <c r="E35" s="242">
        <v>110.71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4509.6899999999996</v>
      </c>
      <c r="E37" s="242">
        <v>4759.2700000000004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-108887.87</v>
      </c>
      <c r="E40" s="245">
        <v>55081.23</v>
      </c>
    </row>
    <row r="41" spans="2:6" ht="13.5" thickBot="1">
      <c r="B41" s="96" t="s">
        <v>37</v>
      </c>
      <c r="C41" s="97" t="s">
        <v>38</v>
      </c>
      <c r="D41" s="289">
        <v>536944.78</v>
      </c>
      <c r="E41" s="145">
        <f>E26+E27+E40</f>
        <v>623535.6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8331.6208000000006</v>
      </c>
      <c r="E47" s="146">
        <v>7716.3438999999998</v>
      </c>
    </row>
    <row r="48" spans="2:6">
      <c r="B48" s="180" t="s">
        <v>6</v>
      </c>
      <c r="C48" s="181" t="s">
        <v>41</v>
      </c>
      <c r="D48" s="299">
        <v>8255.6085999999996</v>
      </c>
      <c r="E48" s="146">
        <v>7653.5608000000002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78.13</v>
      </c>
      <c r="E50" s="146">
        <v>74.3</v>
      </c>
    </row>
    <row r="51" spans="2:5">
      <c r="B51" s="178" t="s">
        <v>6</v>
      </c>
      <c r="C51" s="179" t="s">
        <v>114</v>
      </c>
      <c r="D51" s="299">
        <v>52.88</v>
      </c>
      <c r="E51" s="146">
        <v>71.98</v>
      </c>
    </row>
    <row r="52" spans="2:5">
      <c r="B52" s="178" t="s">
        <v>8</v>
      </c>
      <c r="C52" s="179" t="s">
        <v>115</v>
      </c>
      <c r="D52" s="299">
        <v>79.569999999999993</v>
      </c>
      <c r="E52" s="72">
        <v>83.44</v>
      </c>
    </row>
    <row r="53" spans="2:5" ht="12.75" customHeight="1" thickBot="1">
      <c r="B53" s="182" t="s">
        <v>9</v>
      </c>
      <c r="C53" s="183" t="s">
        <v>41</v>
      </c>
      <c r="D53" s="297">
        <v>65.040000000000006</v>
      </c>
      <c r="E53" s="246">
        <v>81.47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623535.6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623535.6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623535.6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623535.6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8">
    <pageSetUpPr fitToPage="1"/>
  </sheetPr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8"/>
      <c r="C4" s="138"/>
      <c r="D4" s="138"/>
      <c r="E4" s="138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211</v>
      </c>
      <c r="C6" s="354"/>
      <c r="D6" s="354"/>
      <c r="E6" s="354"/>
    </row>
    <row r="7" spans="2:7" ht="14.25">
      <c r="B7" s="136"/>
      <c r="C7" s="136"/>
      <c r="D7" s="136"/>
      <c r="E7" s="13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7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341438.94</v>
      </c>
      <c r="E11" s="211">
        <f>SUM(E12:E14)</f>
        <v>403108.01</v>
      </c>
    </row>
    <row r="12" spans="2:7">
      <c r="B12" s="167" t="s">
        <v>4</v>
      </c>
      <c r="C12" s="168" t="s">
        <v>5</v>
      </c>
      <c r="D12" s="271">
        <v>341438.94</v>
      </c>
      <c r="E12" s="216">
        <v>403108.01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341438.94</v>
      </c>
      <c r="E21" s="145">
        <f>E11-E17</f>
        <v>403108.01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301945.83</v>
      </c>
      <c r="E26" s="206">
        <f>D21</f>
        <v>341438.94</v>
      </c>
    </row>
    <row r="27" spans="2:6">
      <c r="B27" s="9" t="s">
        <v>17</v>
      </c>
      <c r="C27" s="10" t="s">
        <v>111</v>
      </c>
      <c r="D27" s="285">
        <v>-2271.12</v>
      </c>
      <c r="E27" s="240">
        <v>-8641.93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2271.1200000000003</v>
      </c>
      <c r="E32" s="241">
        <v>8641.93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0.78</v>
      </c>
      <c r="E35" s="242">
        <v>1.1000000000000001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2270.34</v>
      </c>
      <c r="E37" s="242">
        <v>2983.23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5657.6</v>
      </c>
      <c r="F39" s="70"/>
    </row>
    <row r="40" spans="2:6" ht="13.5" thickBot="1">
      <c r="B40" s="94" t="s">
        <v>35</v>
      </c>
      <c r="C40" s="95" t="s">
        <v>36</v>
      </c>
      <c r="D40" s="288">
        <v>-11282.12</v>
      </c>
      <c r="E40" s="245">
        <v>70311</v>
      </c>
    </row>
    <row r="41" spans="2:6" ht="13.5" thickBot="1">
      <c r="B41" s="96" t="s">
        <v>37</v>
      </c>
      <c r="C41" s="97" t="s">
        <v>38</v>
      </c>
      <c r="D41" s="289">
        <v>288392.59000000003</v>
      </c>
      <c r="E41" s="145">
        <f>E26+E27+E40</f>
        <v>403108.01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7962.7064</v>
      </c>
      <c r="E47" s="146">
        <v>7949.6842999999999</v>
      </c>
    </row>
    <row r="48" spans="2:6">
      <c r="B48" s="180" t="s">
        <v>6</v>
      </c>
      <c r="C48" s="181" t="s">
        <v>41</v>
      </c>
      <c r="D48" s="299">
        <v>7899.0027</v>
      </c>
      <c r="E48" s="146">
        <v>7761.0321000000004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37.92</v>
      </c>
      <c r="E50" s="146">
        <v>42.95</v>
      </c>
    </row>
    <row r="51" spans="2:5">
      <c r="B51" s="178" t="s">
        <v>6</v>
      </c>
      <c r="C51" s="179" t="s">
        <v>114</v>
      </c>
      <c r="D51" s="299">
        <v>28.28</v>
      </c>
      <c r="E51" s="146">
        <v>42.95</v>
      </c>
    </row>
    <row r="52" spans="2:5">
      <c r="B52" s="178" t="s">
        <v>8</v>
      </c>
      <c r="C52" s="179" t="s">
        <v>115</v>
      </c>
      <c r="D52" s="299">
        <v>39.64</v>
      </c>
      <c r="E52" s="72">
        <v>52.86</v>
      </c>
    </row>
    <row r="53" spans="2:5" ht="14.25" customHeight="1" thickBot="1">
      <c r="B53" s="182" t="s">
        <v>9</v>
      </c>
      <c r="C53" s="183" t="s">
        <v>41</v>
      </c>
      <c r="D53" s="297">
        <v>36.51</v>
      </c>
      <c r="E53" s="246">
        <v>51.94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403108.01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403108.01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403108.01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403108.01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9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8"/>
      <c r="C4" s="138"/>
      <c r="D4" s="138"/>
      <c r="E4" s="138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212</v>
      </c>
      <c r="C6" s="354"/>
      <c r="D6" s="354"/>
      <c r="E6" s="354"/>
    </row>
    <row r="7" spans="2:7" ht="14.25">
      <c r="B7" s="136"/>
      <c r="C7" s="136"/>
      <c r="D7" s="136"/>
      <c r="E7" s="13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7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3180363.24</v>
      </c>
      <c r="E11" s="211">
        <f>SUM(E12:E14)</f>
        <v>3372296.52</v>
      </c>
    </row>
    <row r="12" spans="2:7">
      <c r="B12" s="167" t="s">
        <v>4</v>
      </c>
      <c r="C12" s="168" t="s">
        <v>5</v>
      </c>
      <c r="D12" s="271">
        <v>3180363.24</v>
      </c>
      <c r="E12" s="216">
        <v>3372296.52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3180363.24</v>
      </c>
      <c r="E21" s="145">
        <f>E11-E17</f>
        <v>3372296.52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4965104.53</v>
      </c>
      <c r="E26" s="206">
        <f>D21</f>
        <v>3180363.24</v>
      </c>
    </row>
    <row r="27" spans="2:6">
      <c r="B27" s="9" t="s">
        <v>17</v>
      </c>
      <c r="C27" s="10" t="s">
        <v>111</v>
      </c>
      <c r="D27" s="285">
        <v>-1060824.8600000001</v>
      </c>
      <c r="E27" s="240">
        <v>-128115.64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1060824.8600000001</v>
      </c>
      <c r="E32" s="241">
        <v>128115.64</v>
      </c>
      <c r="F32" s="70"/>
    </row>
    <row r="33" spans="2:6">
      <c r="B33" s="175" t="s">
        <v>4</v>
      </c>
      <c r="C33" s="168" t="s">
        <v>25</v>
      </c>
      <c r="D33" s="286">
        <v>993492.03</v>
      </c>
      <c r="E33" s="242">
        <v>82350.759999999995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26456.720000000001</v>
      </c>
      <c r="E35" s="242">
        <v>19350.59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33455.620000000003</v>
      </c>
      <c r="E37" s="242">
        <v>26414.29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7420.49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-323332.92</v>
      </c>
      <c r="E40" s="245">
        <v>320048.92</v>
      </c>
    </row>
    <row r="41" spans="2:6" ht="13.5" thickBot="1">
      <c r="B41" s="96" t="s">
        <v>37</v>
      </c>
      <c r="C41" s="97" t="s">
        <v>38</v>
      </c>
      <c r="D41" s="289">
        <v>3580946.75</v>
      </c>
      <c r="E41" s="145">
        <f>E26+E27+E40</f>
        <v>3372296.52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67442.332699999999</v>
      </c>
      <c r="E47" s="146">
        <v>43170.398300000001</v>
      </c>
    </row>
    <row r="48" spans="2:6">
      <c r="B48" s="180" t="s">
        <v>6</v>
      </c>
      <c r="C48" s="181" t="s">
        <v>41</v>
      </c>
      <c r="D48" s="299">
        <v>52162.370699999999</v>
      </c>
      <c r="E48" s="146">
        <v>41561.455699999999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73.62</v>
      </c>
      <c r="E50" s="146">
        <v>73.67</v>
      </c>
    </row>
    <row r="51" spans="2:5">
      <c r="B51" s="178" t="s">
        <v>6</v>
      </c>
      <c r="C51" s="179" t="s">
        <v>114</v>
      </c>
      <c r="D51" s="299">
        <v>56.45</v>
      </c>
      <c r="E51" s="146">
        <v>72.989999999999995</v>
      </c>
    </row>
    <row r="52" spans="2:5">
      <c r="B52" s="178" t="s">
        <v>8</v>
      </c>
      <c r="C52" s="179" t="s">
        <v>115</v>
      </c>
      <c r="D52" s="299">
        <v>75.53</v>
      </c>
      <c r="E52" s="72">
        <v>81.66</v>
      </c>
    </row>
    <row r="53" spans="2:5" ht="14.25" customHeight="1" thickBot="1">
      <c r="B53" s="182" t="s">
        <v>9</v>
      </c>
      <c r="C53" s="183" t="s">
        <v>41</v>
      </c>
      <c r="D53" s="297">
        <v>68.650000000000006</v>
      </c>
      <c r="E53" s="246">
        <v>81.14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3372296.52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3372296.52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3372296.52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3372296.52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47244094488188981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4" width="17.85546875" style="81" customWidth="1"/>
    <col min="5" max="5" width="17.14062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102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1221632.1500000001</v>
      </c>
      <c r="E11" s="211">
        <f>SUM(E12:E14)</f>
        <v>1285820.6200000003</v>
      </c>
    </row>
    <row r="12" spans="2:7">
      <c r="B12" s="103" t="s">
        <v>4</v>
      </c>
      <c r="C12" s="188" t="s">
        <v>5</v>
      </c>
      <c r="D12" s="271">
        <f>1108105.8+112493.09-598.76</f>
        <v>1220000.1300000001</v>
      </c>
      <c r="E12" s="216">
        <f>1120158.82+164859.82-601.39</f>
        <v>1284417.2500000002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>
        <f>D15</f>
        <v>1632.02</v>
      </c>
      <c r="E14" s="217">
        <f>E15</f>
        <v>1403.37</v>
      </c>
    </row>
    <row r="15" spans="2:7">
      <c r="B15" s="103" t="s">
        <v>106</v>
      </c>
      <c r="C15" s="188" t="s">
        <v>11</v>
      </c>
      <c r="D15" s="272">
        <v>1632.02</v>
      </c>
      <c r="E15" s="217">
        <v>1403.37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2939.03</v>
      </c>
      <c r="E17" s="219">
        <f>E18</f>
        <v>1088.6199999999999</v>
      </c>
    </row>
    <row r="18" spans="2:6">
      <c r="B18" s="103" t="s">
        <v>4</v>
      </c>
      <c r="C18" s="188" t="s">
        <v>11</v>
      </c>
      <c r="D18" s="273">
        <v>2939.03</v>
      </c>
      <c r="E18" s="218">
        <v>1088.6199999999999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1218693.1200000001</v>
      </c>
      <c r="E21" s="145">
        <f>E11-E17</f>
        <v>1284732.0000000002</v>
      </c>
      <c r="F21" s="74"/>
    </row>
    <row r="22" spans="2:6">
      <c r="B22" s="3"/>
      <c r="C22" s="7"/>
      <c r="D22" s="8"/>
      <c r="E22" s="250"/>
    </row>
    <row r="23" spans="2:6" ht="13.5">
      <c r="B23" s="356" t="s">
        <v>104</v>
      </c>
      <c r="C23" s="368"/>
      <c r="D23" s="368"/>
      <c r="E23" s="368"/>
    </row>
    <row r="24" spans="2:6" ht="18" customHeight="1" thickBot="1">
      <c r="B24" s="355" t="s">
        <v>105</v>
      </c>
      <c r="C24" s="369"/>
      <c r="D24" s="369"/>
      <c r="E24" s="369"/>
    </row>
    <row r="25" spans="2:6" ht="13.5" thickBot="1">
      <c r="B25" s="83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1098325.0599999998</v>
      </c>
      <c r="E26" s="206">
        <f>D21</f>
        <v>1218693.1200000001</v>
      </c>
    </row>
    <row r="27" spans="2:6">
      <c r="B27" s="9" t="s">
        <v>17</v>
      </c>
      <c r="C27" s="10" t="s">
        <v>111</v>
      </c>
      <c r="D27" s="285">
        <v>16999.820000000007</v>
      </c>
      <c r="E27" s="240">
        <v>60373.979999999996</v>
      </c>
      <c r="F27" s="70"/>
    </row>
    <row r="28" spans="2:6">
      <c r="B28" s="9" t="s">
        <v>18</v>
      </c>
      <c r="C28" s="10" t="s">
        <v>19</v>
      </c>
      <c r="D28" s="285">
        <v>154782.32</v>
      </c>
      <c r="E28" s="241">
        <v>109134.2</v>
      </c>
      <c r="F28" s="70"/>
    </row>
    <row r="29" spans="2:6">
      <c r="B29" s="101" t="s">
        <v>4</v>
      </c>
      <c r="C29" s="6" t="s">
        <v>20</v>
      </c>
      <c r="D29" s="286">
        <v>153165.91</v>
      </c>
      <c r="E29" s="242">
        <v>109134.2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1616.41</v>
      </c>
      <c r="E31" s="242"/>
      <c r="F31" s="70"/>
    </row>
    <row r="32" spans="2:6">
      <c r="B32" s="89" t="s">
        <v>23</v>
      </c>
      <c r="C32" s="11" t="s">
        <v>24</v>
      </c>
      <c r="D32" s="285">
        <v>137782.5</v>
      </c>
      <c r="E32" s="241">
        <v>48760.22</v>
      </c>
      <c r="F32" s="70"/>
    </row>
    <row r="33" spans="2:6">
      <c r="B33" s="101" t="s">
        <v>4</v>
      </c>
      <c r="C33" s="6" t="s">
        <v>25</v>
      </c>
      <c r="D33" s="286">
        <v>104194.71</v>
      </c>
      <c r="E33" s="242">
        <v>34984.589999999997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11186.88</v>
      </c>
      <c r="E35" s="242">
        <v>9647.33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22400.91</v>
      </c>
      <c r="E39" s="243">
        <v>4128.3</v>
      </c>
      <c r="F39" s="70"/>
    </row>
    <row r="40" spans="2:6" ht="13.5" thickBot="1">
      <c r="B40" s="94" t="s">
        <v>35</v>
      </c>
      <c r="C40" s="95" t="s">
        <v>36</v>
      </c>
      <c r="D40" s="288">
        <v>-29683.48</v>
      </c>
      <c r="E40" s="245">
        <v>5664.9</v>
      </c>
    </row>
    <row r="41" spans="2:6" ht="13.5" thickBot="1">
      <c r="B41" s="96" t="s">
        <v>37</v>
      </c>
      <c r="C41" s="97" t="s">
        <v>38</v>
      </c>
      <c r="D41" s="289">
        <v>1085641.3999999999</v>
      </c>
      <c r="E41" s="145">
        <f>E26+E27+E40</f>
        <v>1284732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5.7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104430.24140000001</v>
      </c>
      <c r="E47" s="300">
        <v>112422.3832</v>
      </c>
    </row>
    <row r="48" spans="2:6">
      <c r="B48" s="120" t="s">
        <v>6</v>
      </c>
      <c r="C48" s="22" t="s">
        <v>41</v>
      </c>
      <c r="D48" s="299">
        <v>105920.7213</v>
      </c>
      <c r="E48" s="310">
        <v>117994.1235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10.517300000000001</v>
      </c>
      <c r="E50" s="300">
        <v>10.840300000000001</v>
      </c>
    </row>
    <row r="51" spans="2:5">
      <c r="B51" s="99" t="s">
        <v>6</v>
      </c>
      <c r="C51" s="15" t="s">
        <v>114</v>
      </c>
      <c r="D51" s="299">
        <v>9.5909999999999993</v>
      </c>
      <c r="E51" s="72">
        <v>10.733599999999999</v>
      </c>
    </row>
    <row r="52" spans="2:5" ht="12" customHeight="1">
      <c r="B52" s="99" t="s">
        <v>8</v>
      </c>
      <c r="C52" s="15" t="s">
        <v>115</v>
      </c>
      <c r="D52" s="299">
        <v>10.651999999999999</v>
      </c>
      <c r="E52" s="72">
        <v>10.902100000000001</v>
      </c>
    </row>
    <row r="53" spans="2:5" ht="13.5" thickBot="1">
      <c r="B53" s="100" t="s">
        <v>9</v>
      </c>
      <c r="C53" s="17" t="s">
        <v>41</v>
      </c>
      <c r="D53" s="297">
        <v>10.249599999999999</v>
      </c>
      <c r="E53" s="246">
        <v>10.8881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1284417.2500000002</v>
      </c>
      <c r="E58" s="31">
        <f>D58/E21</f>
        <v>0.99975500726999877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4" customHeight="1">
      <c r="B60" s="14" t="s">
        <v>6</v>
      </c>
      <c r="C60" s="15" t="s">
        <v>45</v>
      </c>
      <c r="D60" s="75">
        <v>0</v>
      </c>
      <c r="E60" s="76">
        <v>0</v>
      </c>
    </row>
    <row r="61" spans="2:5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0</v>
      </c>
      <c r="E62" s="76">
        <v>0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306">
        <f>1120158.82-601.39</f>
        <v>1119557.4300000002</v>
      </c>
      <c r="E64" s="78">
        <f>D64/E21</f>
        <v>0.87143266455572055</v>
      </c>
    </row>
    <row r="65" spans="2:5">
      <c r="B65" s="21" t="s">
        <v>33</v>
      </c>
      <c r="C65" s="22" t="s">
        <v>118</v>
      </c>
      <c r="D65" s="77">
        <v>0</v>
      </c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298">
        <v>164859.82</v>
      </c>
      <c r="E69" s="76">
        <f>D69/E21</f>
        <v>0.12832234271427814</v>
      </c>
    </row>
    <row r="70" spans="2:5">
      <c r="B70" s="109" t="s">
        <v>58</v>
      </c>
      <c r="C70" s="110" t="s">
        <v>59</v>
      </c>
      <c r="D70" s="213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1403.37</v>
      </c>
      <c r="E72" s="116">
        <f>D72/E21</f>
        <v>1.092344551237145E-3</v>
      </c>
    </row>
    <row r="73" spans="2:5">
      <c r="B73" s="23" t="s">
        <v>62</v>
      </c>
      <c r="C73" s="24" t="s">
        <v>65</v>
      </c>
      <c r="D73" s="25">
        <f>E17</f>
        <v>1088.6199999999999</v>
      </c>
      <c r="E73" s="26">
        <f>D73/E21</f>
        <v>8.4735182123586836E-4</v>
      </c>
    </row>
    <row r="74" spans="2:5">
      <c r="B74" s="117" t="s">
        <v>64</v>
      </c>
      <c r="C74" s="118" t="s">
        <v>66</v>
      </c>
      <c r="D74" s="119">
        <f>D58+D71+D72-D73</f>
        <v>1284732.0000000002</v>
      </c>
      <c r="E74" s="65">
        <f>E58+E72-E73</f>
        <v>1</v>
      </c>
    </row>
    <row r="75" spans="2:5">
      <c r="B75" s="14" t="s">
        <v>4</v>
      </c>
      <c r="C75" s="15" t="s">
        <v>67</v>
      </c>
      <c r="D75" s="75">
        <f>D74</f>
        <v>1284732.0000000002</v>
      </c>
      <c r="E75" s="76">
        <f>E74</f>
        <v>1</v>
      </c>
    </row>
    <row r="76" spans="2:5">
      <c r="B76" s="14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01"/>
      <c r="E78" s="201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0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8"/>
      <c r="C4" s="138"/>
      <c r="D4" s="138"/>
      <c r="E4" s="138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213</v>
      </c>
      <c r="C6" s="354"/>
      <c r="D6" s="354"/>
      <c r="E6" s="354"/>
    </row>
    <row r="7" spans="2:7" ht="14.25">
      <c r="B7" s="136"/>
      <c r="C7" s="136"/>
      <c r="D7" s="136"/>
      <c r="E7" s="13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7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/>
      <c r="E11" s="211"/>
    </row>
    <row r="12" spans="2:7">
      <c r="B12" s="167" t="s">
        <v>4</v>
      </c>
      <c r="C12" s="168" t="s">
        <v>5</v>
      </c>
      <c r="D12" s="271"/>
      <c r="E12" s="216"/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0</v>
      </c>
      <c r="E21" s="145">
        <f>E11-E17</f>
        <v>0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39683.35</v>
      </c>
      <c r="E26" s="206">
        <f>D21</f>
        <v>0</v>
      </c>
    </row>
    <row r="27" spans="2:6">
      <c r="B27" s="9" t="s">
        <v>17</v>
      </c>
      <c r="C27" s="10" t="s">
        <v>111</v>
      </c>
      <c r="D27" s="285">
        <v>-475.7</v>
      </c>
      <c r="E27" s="240" t="s">
        <v>123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475.7</v>
      </c>
      <c r="E32" s="241" t="s">
        <v>123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193.55</v>
      </c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282.14999999999998</v>
      </c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-3547.92</v>
      </c>
      <c r="E40" s="245"/>
    </row>
    <row r="41" spans="2:6" ht="13.5" thickBot="1">
      <c r="B41" s="96" t="s">
        <v>37</v>
      </c>
      <c r="C41" s="97" t="s">
        <v>38</v>
      </c>
      <c r="D41" s="289">
        <v>35659.730000000003</v>
      </c>
      <c r="E41" s="145" t="s">
        <v>123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564.16480000000001</v>
      </c>
      <c r="E47" s="146"/>
    </row>
    <row r="48" spans="2:6">
      <c r="B48" s="180" t="s">
        <v>6</v>
      </c>
      <c r="C48" s="181" t="s">
        <v>41</v>
      </c>
      <c r="D48" s="299">
        <v>556.57449999999994</v>
      </c>
      <c r="E48" s="146"/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70.34</v>
      </c>
      <c r="E50" s="146"/>
    </row>
    <row r="51" spans="2:5">
      <c r="B51" s="178" t="s">
        <v>6</v>
      </c>
      <c r="C51" s="179" t="s">
        <v>114</v>
      </c>
      <c r="D51" s="299">
        <v>55.91</v>
      </c>
      <c r="E51" s="72"/>
    </row>
    <row r="52" spans="2:5">
      <c r="B52" s="178" t="s">
        <v>8</v>
      </c>
      <c r="C52" s="179" t="s">
        <v>115</v>
      </c>
      <c r="D52" s="299">
        <v>71.17</v>
      </c>
      <c r="E52" s="72"/>
    </row>
    <row r="53" spans="2:5" ht="13.5" customHeight="1" thickBot="1">
      <c r="B53" s="182" t="s">
        <v>9</v>
      </c>
      <c r="C53" s="183" t="s">
        <v>41</v>
      </c>
      <c r="D53" s="297">
        <v>64.069999999999993</v>
      </c>
      <c r="E53" s="246"/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0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0</v>
      </c>
      <c r="E64" s="78"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0</v>
      </c>
      <c r="E74" s="65">
        <v>0</v>
      </c>
    </row>
    <row r="75" spans="2:5">
      <c r="B75" s="99" t="s">
        <v>4</v>
      </c>
      <c r="C75" s="15" t="s">
        <v>67</v>
      </c>
      <c r="D75" s="75">
        <f>D74</f>
        <v>0</v>
      </c>
      <c r="E75" s="76">
        <f>E74</f>
        <v>0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8"/>
      <c r="C4" s="138"/>
      <c r="D4" s="138"/>
      <c r="E4" s="138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214</v>
      </c>
      <c r="C6" s="354"/>
      <c r="D6" s="354"/>
      <c r="E6" s="354"/>
    </row>
    <row r="7" spans="2:7" ht="14.25">
      <c r="B7" s="136"/>
      <c r="C7" s="136"/>
      <c r="D7" s="136"/>
      <c r="E7" s="13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7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394194.47</v>
      </c>
      <c r="E11" s="211">
        <f>SUM(E12:E14)</f>
        <v>179677.7</v>
      </c>
    </row>
    <row r="12" spans="2:7">
      <c r="B12" s="167" t="s">
        <v>4</v>
      </c>
      <c r="C12" s="168" t="s">
        <v>5</v>
      </c>
      <c r="D12" s="271">
        <v>394194.47</v>
      </c>
      <c r="E12" s="216">
        <v>179677.7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394194.47</v>
      </c>
      <c r="E21" s="145">
        <f>E11-E17</f>
        <v>179677.7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377328.9</v>
      </c>
      <c r="E26" s="206">
        <f>D21</f>
        <v>394194.47</v>
      </c>
    </row>
    <row r="27" spans="2:6">
      <c r="B27" s="9" t="s">
        <v>17</v>
      </c>
      <c r="C27" s="10" t="s">
        <v>111</v>
      </c>
      <c r="D27" s="285">
        <v>-3087.6599999999744</v>
      </c>
      <c r="E27" s="240">
        <v>-250207.08</v>
      </c>
      <c r="F27" s="70"/>
    </row>
    <row r="28" spans="2:6">
      <c r="B28" s="9" t="s">
        <v>18</v>
      </c>
      <c r="C28" s="10" t="s">
        <v>19</v>
      </c>
      <c r="D28" s="285">
        <v>333933.56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333933.56</v>
      </c>
      <c r="E31" s="242"/>
      <c r="F31" s="70"/>
    </row>
    <row r="32" spans="2:6">
      <c r="B32" s="89" t="s">
        <v>23</v>
      </c>
      <c r="C32" s="11" t="s">
        <v>24</v>
      </c>
      <c r="D32" s="285">
        <v>337021.22</v>
      </c>
      <c r="E32" s="241">
        <v>250207.08</v>
      </c>
      <c r="F32" s="70"/>
    </row>
    <row r="33" spans="2:6">
      <c r="B33" s="175" t="s">
        <v>4</v>
      </c>
      <c r="C33" s="168" t="s">
        <v>25</v>
      </c>
      <c r="D33" s="286"/>
      <c r="E33" s="242">
        <v>250207.08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25.89</v>
      </c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3441.03</v>
      </c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333554.3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-42244.5</v>
      </c>
      <c r="E40" s="245">
        <v>35690.31</v>
      </c>
    </row>
    <row r="41" spans="2:6" ht="13.5" thickBot="1">
      <c r="B41" s="96" t="s">
        <v>37</v>
      </c>
      <c r="C41" s="97" t="s">
        <v>38</v>
      </c>
      <c r="D41" s="289">
        <v>331996.74000000005</v>
      </c>
      <c r="E41" s="145">
        <f>E26+E27+E40</f>
        <v>179677.69999999998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1646.0712000000001</v>
      </c>
      <c r="E47" s="300">
        <v>6671.0860000000002</v>
      </c>
    </row>
    <row r="48" spans="2:6">
      <c r="B48" s="180" t="s">
        <v>6</v>
      </c>
      <c r="C48" s="181" t="s">
        <v>41</v>
      </c>
      <c r="D48" s="299">
        <v>6678.6710000000003</v>
      </c>
      <c r="E48" s="146">
        <v>2788.2946000000002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229.23</v>
      </c>
      <c r="E50" s="72">
        <v>59.09</v>
      </c>
    </row>
    <row r="51" spans="2:5">
      <c r="B51" s="178" t="s">
        <v>6</v>
      </c>
      <c r="C51" s="179" t="s">
        <v>114</v>
      </c>
      <c r="D51" s="299">
        <v>48.87</v>
      </c>
      <c r="E51" s="72">
        <v>57.9</v>
      </c>
    </row>
    <row r="52" spans="2:5">
      <c r="B52" s="178" t="s">
        <v>8</v>
      </c>
      <c r="C52" s="179" t="s">
        <v>115</v>
      </c>
      <c r="D52" s="299">
        <v>50.28</v>
      </c>
      <c r="E52" s="72">
        <v>64.53</v>
      </c>
    </row>
    <row r="53" spans="2:5" ht="14.25" customHeight="1" thickBot="1">
      <c r="B53" s="182" t="s">
        <v>9</v>
      </c>
      <c r="C53" s="183" t="s">
        <v>41</v>
      </c>
      <c r="D53" s="297">
        <v>49.71</v>
      </c>
      <c r="E53" s="246">
        <v>64.44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179677.7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179677.7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179677.7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179677.7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2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215</v>
      </c>
      <c r="C6" s="354"/>
      <c r="D6" s="354"/>
      <c r="E6" s="354"/>
    </row>
    <row r="7" spans="2:7" ht="14.25">
      <c r="B7" s="150"/>
      <c r="C7" s="150"/>
      <c r="D7" s="150"/>
      <c r="E7" s="15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51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17598.98</v>
      </c>
      <c r="E11" s="211">
        <f>SUM(E12:E14)</f>
        <v>16845.84</v>
      </c>
    </row>
    <row r="12" spans="2:7">
      <c r="B12" s="167" t="s">
        <v>4</v>
      </c>
      <c r="C12" s="168" t="s">
        <v>5</v>
      </c>
      <c r="D12" s="271">
        <v>17598.98</v>
      </c>
      <c r="E12" s="216">
        <v>16845.84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17598.98</v>
      </c>
      <c r="E21" s="145">
        <f>E11-E17</f>
        <v>16845.84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17122.150000000001</v>
      </c>
      <c r="E26" s="206">
        <f>D21</f>
        <v>17598.98</v>
      </c>
    </row>
    <row r="27" spans="2:6">
      <c r="B27" s="9" t="s">
        <v>17</v>
      </c>
      <c r="C27" s="10" t="s">
        <v>111</v>
      </c>
      <c r="D27" s="285">
        <v>-251.63</v>
      </c>
      <c r="E27" s="240">
        <v>-262.52999999999997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251.63</v>
      </c>
      <c r="E32" s="241">
        <v>262.52999999999997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108.37</v>
      </c>
      <c r="E35" s="242">
        <v>116.56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143.26</v>
      </c>
      <c r="E37" s="242">
        <v>145.97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424.19</v>
      </c>
      <c r="E40" s="245">
        <v>-490.61</v>
      </c>
    </row>
    <row r="41" spans="2:6" ht="13.5" thickBot="1">
      <c r="B41" s="96" t="s">
        <v>37</v>
      </c>
      <c r="C41" s="97" t="s">
        <v>38</v>
      </c>
      <c r="D41" s="289">
        <v>17294.71</v>
      </c>
      <c r="E41" s="145">
        <f>E26+E27+E40</f>
        <v>16845.84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95.149500000000003</v>
      </c>
      <c r="E47" s="300">
        <v>92.320099999999996</v>
      </c>
    </row>
    <row r="48" spans="2:6">
      <c r="B48" s="180" t="s">
        <v>6</v>
      </c>
      <c r="C48" s="181" t="s">
        <v>41</v>
      </c>
      <c r="D48" s="299">
        <v>93.733199999999997</v>
      </c>
      <c r="E48" s="146">
        <v>90.921000000000006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179.95</v>
      </c>
      <c r="E50" s="72">
        <v>190.63</v>
      </c>
    </row>
    <row r="51" spans="2:5">
      <c r="B51" s="178" t="s">
        <v>6</v>
      </c>
      <c r="C51" s="179" t="s">
        <v>114</v>
      </c>
      <c r="D51" s="299">
        <v>164.79</v>
      </c>
      <c r="E51" s="72">
        <v>184.29</v>
      </c>
    </row>
    <row r="52" spans="2:5">
      <c r="B52" s="178" t="s">
        <v>8</v>
      </c>
      <c r="C52" s="179" t="s">
        <v>115</v>
      </c>
      <c r="D52" s="299">
        <v>184.61</v>
      </c>
      <c r="E52" s="72">
        <v>190.91</v>
      </c>
    </row>
    <row r="53" spans="2:5" ht="13.5" thickBot="1">
      <c r="B53" s="182" t="s">
        <v>9</v>
      </c>
      <c r="C53" s="183" t="s">
        <v>41</v>
      </c>
      <c r="D53" s="297">
        <v>184.51</v>
      </c>
      <c r="E53" s="246">
        <v>185.28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16845.84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16845.84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16845.84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16845.84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4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8"/>
      <c r="C4" s="138"/>
      <c r="D4" s="138"/>
      <c r="E4" s="138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216</v>
      </c>
      <c r="C6" s="354"/>
      <c r="D6" s="354"/>
      <c r="E6" s="354"/>
    </row>
    <row r="7" spans="2:7" ht="14.25">
      <c r="B7" s="136"/>
      <c r="C7" s="136"/>
      <c r="D7" s="136"/>
      <c r="E7" s="13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7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27347.780000000002</v>
      </c>
      <c r="E11" s="211">
        <f>SUM(E12:E14)</f>
        <v>58063.3</v>
      </c>
    </row>
    <row r="12" spans="2:7">
      <c r="B12" s="167" t="s">
        <v>4</v>
      </c>
      <c r="C12" s="168" t="s">
        <v>5</v>
      </c>
      <c r="D12" s="271">
        <v>27347.780000000002</v>
      </c>
      <c r="E12" s="216">
        <v>58063.3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27347.780000000002</v>
      </c>
      <c r="E21" s="145">
        <f>E11-E17</f>
        <v>58063.3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17474.71</v>
      </c>
      <c r="E26" s="206">
        <f>D21</f>
        <v>27347.780000000002</v>
      </c>
    </row>
    <row r="27" spans="2:6">
      <c r="B27" s="9" t="s">
        <v>17</v>
      </c>
      <c r="C27" s="10" t="s">
        <v>111</v>
      </c>
      <c r="D27" s="285">
        <v>3546.05</v>
      </c>
      <c r="E27" s="240">
        <v>15867.47</v>
      </c>
      <c r="F27" s="70"/>
    </row>
    <row r="28" spans="2:6">
      <c r="B28" s="9" t="s">
        <v>18</v>
      </c>
      <c r="C28" s="10" t="s">
        <v>19</v>
      </c>
      <c r="D28" s="285">
        <v>3753.79</v>
      </c>
      <c r="E28" s="241">
        <v>22668.69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3753.79</v>
      </c>
      <c r="E31" s="242">
        <v>22668.69</v>
      </c>
      <c r="F31" s="70"/>
    </row>
    <row r="32" spans="2:6">
      <c r="B32" s="89" t="s">
        <v>23</v>
      </c>
      <c r="C32" s="11" t="s">
        <v>24</v>
      </c>
      <c r="D32" s="285">
        <v>207.74</v>
      </c>
      <c r="E32" s="241">
        <v>6801.22</v>
      </c>
      <c r="F32" s="70"/>
    </row>
    <row r="33" spans="2:6">
      <c r="B33" s="175" t="s">
        <v>4</v>
      </c>
      <c r="C33" s="168" t="s">
        <v>25</v>
      </c>
      <c r="D33" s="286"/>
      <c r="E33" s="242">
        <v>6369.36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18</v>
      </c>
      <c r="E35" s="242">
        <v>28.2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189.74</v>
      </c>
      <c r="E37" s="242">
        <v>403.66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693.11</v>
      </c>
      <c r="E40" s="245">
        <v>14848.05</v>
      </c>
    </row>
    <row r="41" spans="2:6" ht="13.5" thickBot="1">
      <c r="B41" s="96" t="s">
        <v>37</v>
      </c>
      <c r="C41" s="97" t="s">
        <v>38</v>
      </c>
      <c r="D41" s="289">
        <v>21713.87</v>
      </c>
      <c r="E41" s="145">
        <f>E26+E27+E40</f>
        <v>58063.3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116.196</v>
      </c>
      <c r="E47" s="300">
        <v>139.03290000000001</v>
      </c>
    </row>
    <row r="48" spans="2:6">
      <c r="B48" s="180" t="s">
        <v>6</v>
      </c>
      <c r="C48" s="181" t="s">
        <v>41</v>
      </c>
      <c r="D48" s="299">
        <v>144.125</v>
      </c>
      <c r="E48" s="146">
        <v>211.5778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150.38999999999999</v>
      </c>
      <c r="E50" s="72">
        <v>196.7</v>
      </c>
    </row>
    <row r="51" spans="2:5">
      <c r="B51" s="178" t="s">
        <v>6</v>
      </c>
      <c r="C51" s="179" t="s">
        <v>114</v>
      </c>
      <c r="D51" s="299">
        <v>109.11</v>
      </c>
      <c r="E51" s="72">
        <v>196.7</v>
      </c>
    </row>
    <row r="52" spans="2:5">
      <c r="B52" s="178" t="s">
        <v>8</v>
      </c>
      <c r="C52" s="179" t="s">
        <v>115</v>
      </c>
      <c r="D52" s="299">
        <v>158.51</v>
      </c>
      <c r="E52" s="72">
        <v>278.45</v>
      </c>
    </row>
    <row r="53" spans="2:5" ht="14.25" customHeight="1" thickBot="1">
      <c r="B53" s="182" t="s">
        <v>9</v>
      </c>
      <c r="C53" s="183" t="s">
        <v>41</v>
      </c>
      <c r="D53" s="297">
        <v>150.66</v>
      </c>
      <c r="E53" s="246">
        <v>274.43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58063.3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58063.3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58063.3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58063.3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6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8"/>
      <c r="C4" s="138"/>
      <c r="D4" s="138"/>
      <c r="E4" s="138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217</v>
      </c>
      <c r="C6" s="354"/>
      <c r="D6" s="354"/>
      <c r="E6" s="354"/>
    </row>
    <row r="7" spans="2:7" ht="14.25">
      <c r="B7" s="136"/>
      <c r="C7" s="136"/>
      <c r="D7" s="136"/>
      <c r="E7" s="13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7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 t="s">
        <v>123</v>
      </c>
      <c r="E11" s="211" t="s">
        <v>123</v>
      </c>
    </row>
    <row r="12" spans="2:7">
      <c r="B12" s="167" t="s">
        <v>4</v>
      </c>
      <c r="C12" s="168" t="s">
        <v>5</v>
      </c>
      <c r="D12" s="271"/>
      <c r="E12" s="216"/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0</v>
      </c>
      <c r="E21" s="145" t="s">
        <v>123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51580.850000000006</v>
      </c>
      <c r="E26" s="206">
        <f>D21</f>
        <v>0</v>
      </c>
    </row>
    <row r="27" spans="2:6">
      <c r="B27" s="9" t="s">
        <v>17</v>
      </c>
      <c r="C27" s="10" t="s">
        <v>111</v>
      </c>
      <c r="D27" s="285">
        <v>-51797.77</v>
      </c>
      <c r="E27" s="240">
        <v>-0.19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51797.77</v>
      </c>
      <c r="E32" s="241">
        <v>0.19</v>
      </c>
      <c r="F32" s="70"/>
    </row>
    <row r="33" spans="2:6">
      <c r="B33" s="175" t="s">
        <v>4</v>
      </c>
      <c r="C33" s="168" t="s">
        <v>25</v>
      </c>
      <c r="D33" s="286">
        <v>51299.9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3.2</v>
      </c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249.11</v>
      </c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245.56</v>
      </c>
      <c r="E39" s="243">
        <v>0.19</v>
      </c>
      <c r="F39" s="70"/>
    </row>
    <row r="40" spans="2:6" ht="13.5" thickBot="1">
      <c r="B40" s="94" t="s">
        <v>35</v>
      </c>
      <c r="C40" s="95" t="s">
        <v>36</v>
      </c>
      <c r="D40" s="288">
        <v>216.92</v>
      </c>
      <c r="E40" s="245">
        <v>0.19</v>
      </c>
    </row>
    <row r="41" spans="2:6" ht="13.5" thickBot="1">
      <c r="B41" s="96" t="s">
        <v>37</v>
      </c>
      <c r="C41" s="97" t="s">
        <v>38</v>
      </c>
      <c r="D41" s="289">
        <v>0</v>
      </c>
      <c r="E41" s="145" t="s">
        <v>123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337.43850000000003</v>
      </c>
      <c r="E47" s="300"/>
    </row>
    <row r="48" spans="2:6">
      <c r="B48" s="180" t="s">
        <v>6</v>
      </c>
      <c r="C48" s="181" t="s">
        <v>41</v>
      </c>
      <c r="D48" s="299" t="s">
        <v>123</v>
      </c>
      <c r="E48" s="146"/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152.86000000000001</v>
      </c>
      <c r="E50" s="72"/>
    </row>
    <row r="51" spans="2:5">
      <c r="B51" s="178" t="s">
        <v>6</v>
      </c>
      <c r="C51" s="179" t="s">
        <v>114</v>
      </c>
      <c r="D51" s="299">
        <v>152.66</v>
      </c>
      <c r="E51" s="72"/>
    </row>
    <row r="52" spans="2:5">
      <c r="B52" s="178" t="s">
        <v>8</v>
      </c>
      <c r="C52" s="179" t="s">
        <v>115</v>
      </c>
      <c r="D52" s="299">
        <v>154.13999999999999</v>
      </c>
      <c r="E52" s="72"/>
    </row>
    <row r="53" spans="2:5" ht="13.5" customHeight="1" thickBot="1">
      <c r="B53" s="182" t="s">
        <v>9</v>
      </c>
      <c r="C53" s="183" t="s">
        <v>41</v>
      </c>
      <c r="D53" s="297" t="s">
        <v>123</v>
      </c>
      <c r="E53" s="246"/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0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0</v>
      </c>
      <c r="E64" s="78">
        <f>E58</f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D58-D73</f>
        <v>0</v>
      </c>
      <c r="E74" s="65">
        <f>E58+E72-E73</f>
        <v>0</v>
      </c>
    </row>
    <row r="75" spans="2:5">
      <c r="B75" s="99" t="s">
        <v>4</v>
      </c>
      <c r="C75" s="15" t="s">
        <v>67</v>
      </c>
      <c r="D75" s="75">
        <f>D74</f>
        <v>0</v>
      </c>
      <c r="E75" s="76">
        <f>E74</f>
        <v>0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8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218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30794.31</v>
      </c>
      <c r="E11" s="211">
        <f>SUM(E12:E14)</f>
        <v>32283.1</v>
      </c>
    </row>
    <row r="12" spans="2:5">
      <c r="B12" s="167" t="s">
        <v>4</v>
      </c>
      <c r="C12" s="168" t="s">
        <v>5</v>
      </c>
      <c r="D12" s="271">
        <v>30794.31</v>
      </c>
      <c r="E12" s="216">
        <v>32283.1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30794.31</v>
      </c>
      <c r="E21" s="145">
        <f>E11-E17</f>
        <v>32283.1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15921.06</v>
      </c>
      <c r="E26" s="206">
        <f>D21</f>
        <v>30794.31</v>
      </c>
    </row>
    <row r="27" spans="2:6">
      <c r="B27" s="9" t="s">
        <v>17</v>
      </c>
      <c r="C27" s="10" t="s">
        <v>111</v>
      </c>
      <c r="D27" s="285">
        <v>13089.490000000002</v>
      </c>
      <c r="E27" s="240">
        <v>-323.48</v>
      </c>
      <c r="F27" s="70"/>
    </row>
    <row r="28" spans="2:6">
      <c r="B28" s="9" t="s">
        <v>18</v>
      </c>
      <c r="C28" s="10" t="s">
        <v>19</v>
      </c>
      <c r="D28" s="285">
        <v>13307.2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13307.2</v>
      </c>
      <c r="E31" s="242"/>
      <c r="F31" s="70"/>
    </row>
    <row r="32" spans="2:6">
      <c r="B32" s="89" t="s">
        <v>23</v>
      </c>
      <c r="C32" s="11" t="s">
        <v>24</v>
      </c>
      <c r="D32" s="285">
        <v>217.71</v>
      </c>
      <c r="E32" s="241">
        <v>323.48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15.1</v>
      </c>
      <c r="E35" s="242">
        <v>22.2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202.61</v>
      </c>
      <c r="E37" s="242">
        <v>301.27999999999997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272.58</v>
      </c>
      <c r="E40" s="245">
        <v>1812.27</v>
      </c>
    </row>
    <row r="41" spans="2:6" ht="13.5" thickBot="1">
      <c r="B41" s="96" t="s">
        <v>37</v>
      </c>
      <c r="C41" s="97" t="s">
        <v>38</v>
      </c>
      <c r="D41" s="289">
        <v>29283.130000000005</v>
      </c>
      <c r="E41" s="145">
        <f>E26+E27+E40</f>
        <v>32283.100000000002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119.1785</v>
      </c>
      <c r="E47" s="300">
        <v>214.22130000000001</v>
      </c>
    </row>
    <row r="48" spans="2:6">
      <c r="B48" s="180" t="s">
        <v>6</v>
      </c>
      <c r="C48" s="181" t="s">
        <v>41</v>
      </c>
      <c r="D48" s="299">
        <v>216.4151</v>
      </c>
      <c r="E48" s="146">
        <v>212.054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133.59</v>
      </c>
      <c r="E50" s="72">
        <v>143.75</v>
      </c>
    </row>
    <row r="51" spans="2:5">
      <c r="B51" s="178" t="s">
        <v>6</v>
      </c>
      <c r="C51" s="179" t="s">
        <v>114</v>
      </c>
      <c r="D51" s="299">
        <v>132.19</v>
      </c>
      <c r="E51" s="72">
        <v>142.91999999999999</v>
      </c>
    </row>
    <row r="52" spans="2:5">
      <c r="B52" s="178" t="s">
        <v>8</v>
      </c>
      <c r="C52" s="179" t="s">
        <v>115</v>
      </c>
      <c r="D52" s="299">
        <v>140.55000000000001</v>
      </c>
      <c r="E52" s="72">
        <v>152.56</v>
      </c>
    </row>
    <row r="53" spans="2:5" ht="13.5" customHeight="1" thickBot="1">
      <c r="B53" s="182" t="s">
        <v>9</v>
      </c>
      <c r="C53" s="183" t="s">
        <v>41</v>
      </c>
      <c r="D53" s="297">
        <v>135.31</v>
      </c>
      <c r="E53" s="246">
        <v>152.24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32283.1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32283.1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32283.1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32283.1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2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219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 t="s">
        <v>123</v>
      </c>
      <c r="E11" s="211" t="s">
        <v>123</v>
      </c>
    </row>
    <row r="12" spans="2:5">
      <c r="B12" s="167" t="s">
        <v>4</v>
      </c>
      <c r="C12" s="168" t="s">
        <v>5</v>
      </c>
      <c r="D12" s="271"/>
      <c r="E12" s="216"/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0</v>
      </c>
      <c r="E21" s="145" t="s">
        <v>123</v>
      </c>
      <c r="F21" s="74"/>
    </row>
    <row r="22" spans="2:6">
      <c r="B22" s="3"/>
      <c r="C22" s="7"/>
      <c r="D22" s="8"/>
      <c r="E22" s="204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94074.91</v>
      </c>
      <c r="E26" s="206">
        <f>D21</f>
        <v>0</v>
      </c>
    </row>
    <row r="27" spans="2:6">
      <c r="B27" s="9" t="s">
        <v>17</v>
      </c>
      <c r="C27" s="10" t="s">
        <v>111</v>
      </c>
      <c r="D27" s="285">
        <v>-94839.5</v>
      </c>
      <c r="E27" s="240" t="s">
        <v>123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94839.5</v>
      </c>
      <c r="E32" s="241" t="s">
        <v>123</v>
      </c>
      <c r="F32" s="70"/>
    </row>
    <row r="33" spans="2:6">
      <c r="B33" s="175" t="s">
        <v>4</v>
      </c>
      <c r="C33" s="168" t="s">
        <v>25</v>
      </c>
      <c r="D33" s="286">
        <v>94503.69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335.81</v>
      </c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764.59</v>
      </c>
      <c r="E40" s="245"/>
    </row>
    <row r="41" spans="2:6" ht="13.5" thickBot="1">
      <c r="B41" s="96" t="s">
        <v>37</v>
      </c>
      <c r="C41" s="97" t="s">
        <v>38</v>
      </c>
      <c r="D41" s="289" t="s">
        <v>123</v>
      </c>
      <c r="E41" s="145" t="s">
        <v>123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169.45</v>
      </c>
      <c r="E47" s="300"/>
    </row>
    <row r="48" spans="2:6">
      <c r="B48" s="180" t="s">
        <v>6</v>
      </c>
      <c r="C48" s="181" t="s">
        <v>41</v>
      </c>
      <c r="D48" s="343" t="s">
        <v>123</v>
      </c>
      <c r="E48" s="146"/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555.178</v>
      </c>
      <c r="E50" s="72"/>
    </row>
    <row r="51" spans="2:5">
      <c r="B51" s="178" t="s">
        <v>6</v>
      </c>
      <c r="C51" s="179" t="s">
        <v>114</v>
      </c>
      <c r="D51" s="299">
        <v>462.57650000000001</v>
      </c>
      <c r="E51" s="72"/>
    </row>
    <row r="52" spans="2:5">
      <c r="B52" s="178" t="s">
        <v>8</v>
      </c>
      <c r="C52" s="179" t="s">
        <v>115</v>
      </c>
      <c r="D52" s="299">
        <v>571.74019999999996</v>
      </c>
      <c r="E52" s="72"/>
    </row>
    <row r="53" spans="2:5" ht="12.75" customHeight="1" thickBot="1">
      <c r="B53" s="182" t="s">
        <v>9</v>
      </c>
      <c r="C53" s="183" t="s">
        <v>41</v>
      </c>
      <c r="D53" s="344" t="s">
        <v>123</v>
      </c>
      <c r="E53" s="246"/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 t="str">
        <f>D64</f>
        <v>-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 t="str">
        <f>E21</f>
        <v>-</v>
      </c>
      <c r="E64" s="78">
        <f>E58</f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 t="str">
        <f>D58</f>
        <v>-</v>
      </c>
      <c r="E74" s="65">
        <f>E58+E72-E73</f>
        <v>0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 t="str">
        <f>D74</f>
        <v>-</v>
      </c>
      <c r="E76" s="76">
        <f>E74</f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3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220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97"/>
      <c r="C10" s="198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61547.65</v>
      </c>
      <c r="E11" s="211">
        <f>SUM(E12:E14)</f>
        <v>46238.32</v>
      </c>
    </row>
    <row r="12" spans="2:5">
      <c r="B12" s="167" t="s">
        <v>4</v>
      </c>
      <c r="C12" s="168" t="s">
        <v>5</v>
      </c>
      <c r="D12" s="271">
        <v>61547.65</v>
      </c>
      <c r="E12" s="216">
        <v>46238.32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61547.65</v>
      </c>
      <c r="E21" s="145">
        <f>E11-E17</f>
        <v>46238.32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52054.239999999998</v>
      </c>
      <c r="E26" s="206">
        <f>D21</f>
        <v>61547.65</v>
      </c>
    </row>
    <row r="27" spans="2:6">
      <c r="B27" s="9" t="s">
        <v>17</v>
      </c>
      <c r="C27" s="10" t="s">
        <v>111</v>
      </c>
      <c r="D27" s="285">
        <v>-1439.1299999999999</v>
      </c>
      <c r="E27" s="240">
        <v>-18552.59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1439.1299999999999</v>
      </c>
      <c r="E32" s="241">
        <v>18552.59</v>
      </c>
      <c r="F32" s="70"/>
    </row>
    <row r="33" spans="2:6">
      <c r="B33" s="175" t="s">
        <v>4</v>
      </c>
      <c r="C33" s="168" t="s">
        <v>25</v>
      </c>
      <c r="D33" s="286">
        <v>1223.5999999999999</v>
      </c>
      <c r="E33" s="242">
        <v>18020.87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38.51</v>
      </c>
      <c r="E35" s="242">
        <v>102.24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177.02</v>
      </c>
      <c r="E37" s="242">
        <v>429.48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-4735.1400000000003</v>
      </c>
      <c r="E40" s="245">
        <v>3243.26</v>
      </c>
    </row>
    <row r="41" spans="2:6" ht="13.5" thickBot="1">
      <c r="B41" s="96" t="s">
        <v>37</v>
      </c>
      <c r="C41" s="97" t="s">
        <v>38</v>
      </c>
      <c r="D41" s="289">
        <v>45879.97</v>
      </c>
      <c r="E41" s="145">
        <f>E26+E27+E40</f>
        <v>46238.32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800.08</v>
      </c>
      <c r="E47" s="300">
        <v>767.45</v>
      </c>
    </row>
    <row r="48" spans="2:6">
      <c r="B48" s="180" t="s">
        <v>6</v>
      </c>
      <c r="C48" s="181" t="s">
        <v>41</v>
      </c>
      <c r="D48" s="299">
        <v>775.04</v>
      </c>
      <c r="E48" s="146">
        <v>555.45000000000005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65.061300000000003</v>
      </c>
      <c r="E50" s="72">
        <v>80.197599999999994</v>
      </c>
    </row>
    <row r="51" spans="2:5">
      <c r="B51" s="178" t="s">
        <v>6</v>
      </c>
      <c r="C51" s="179" t="s">
        <v>114</v>
      </c>
      <c r="D51" s="299">
        <v>47.515000000000001</v>
      </c>
      <c r="E51" s="72">
        <v>80.197599999999994</v>
      </c>
    </row>
    <row r="52" spans="2:5">
      <c r="B52" s="178" t="s">
        <v>8</v>
      </c>
      <c r="C52" s="179" t="s">
        <v>115</v>
      </c>
      <c r="D52" s="299">
        <v>67.962199999999996</v>
      </c>
      <c r="E52" s="72">
        <v>92.486099999999993</v>
      </c>
    </row>
    <row r="53" spans="2:5" ht="12.75" customHeight="1" thickBot="1">
      <c r="B53" s="182" t="s">
        <v>9</v>
      </c>
      <c r="C53" s="183" t="s">
        <v>41</v>
      </c>
      <c r="D53" s="297">
        <v>59.196899999999999</v>
      </c>
      <c r="E53" s="246">
        <v>83.244799999999998</v>
      </c>
    </row>
    <row r="54" spans="2:5">
      <c r="B54" s="106"/>
      <c r="C54" s="107"/>
      <c r="D54" s="108"/>
      <c r="E54" s="193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46238.32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46238.32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46238.32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46238.32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4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221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68902.070000000007</v>
      </c>
      <c r="E11" s="211">
        <f>SUM(E12:E14)</f>
        <v>46152.66</v>
      </c>
    </row>
    <row r="12" spans="2:5">
      <c r="B12" s="167" t="s">
        <v>4</v>
      </c>
      <c r="C12" s="168" t="s">
        <v>5</v>
      </c>
      <c r="D12" s="271">
        <v>68902.070000000007</v>
      </c>
      <c r="E12" s="216">
        <v>46152.66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68902.070000000007</v>
      </c>
      <c r="E21" s="145">
        <f>E11-E17</f>
        <v>46152.66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67198.570000000007</v>
      </c>
      <c r="E26" s="206">
        <f>D21</f>
        <v>68902.070000000007</v>
      </c>
    </row>
    <row r="27" spans="2:6">
      <c r="B27" s="9" t="s">
        <v>17</v>
      </c>
      <c r="C27" s="10" t="s">
        <v>111</v>
      </c>
      <c r="D27" s="285">
        <v>-509.58000000000004</v>
      </c>
      <c r="E27" s="240">
        <v>-19900.400000000001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509.58000000000004</v>
      </c>
      <c r="E32" s="241">
        <v>19900.400000000001</v>
      </c>
      <c r="F32" s="70"/>
    </row>
    <row r="33" spans="2:6">
      <c r="B33" s="175" t="s">
        <v>4</v>
      </c>
      <c r="C33" s="168" t="s">
        <v>25</v>
      </c>
      <c r="D33" s="286"/>
      <c r="E33" s="242">
        <v>19356.240000000002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18.28</v>
      </c>
      <c r="E35" s="242">
        <v>11.49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491.3</v>
      </c>
      <c r="E37" s="242">
        <v>532.66999999999996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-2005.4</v>
      </c>
      <c r="E40" s="245">
        <v>-2849.01</v>
      </c>
    </row>
    <row r="41" spans="2:6" ht="13.5" thickBot="1">
      <c r="B41" s="96" t="s">
        <v>37</v>
      </c>
      <c r="C41" s="97" t="s">
        <v>38</v>
      </c>
      <c r="D41" s="289">
        <v>64683.590000000004</v>
      </c>
      <c r="E41" s="145">
        <f>E26+E27+E40</f>
        <v>46152.66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574.02</v>
      </c>
      <c r="E47" s="300">
        <v>564.48</v>
      </c>
    </row>
    <row r="48" spans="2:6">
      <c r="B48" s="180" t="s">
        <v>6</v>
      </c>
      <c r="C48" s="181" t="s">
        <v>41</v>
      </c>
      <c r="D48" s="299">
        <v>569.28</v>
      </c>
      <c r="E48" s="146">
        <v>393.61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117.06659999999999</v>
      </c>
      <c r="E50" s="72">
        <v>122.0629</v>
      </c>
    </row>
    <row r="51" spans="2:5">
      <c r="B51" s="178" t="s">
        <v>6</v>
      </c>
      <c r="C51" s="179" t="s">
        <v>114</v>
      </c>
      <c r="D51" s="299">
        <v>105.6564</v>
      </c>
      <c r="E51" s="72">
        <v>114.7714</v>
      </c>
    </row>
    <row r="52" spans="2:5">
      <c r="B52" s="178" t="s">
        <v>8</v>
      </c>
      <c r="C52" s="179" t="s">
        <v>115</v>
      </c>
      <c r="D52" s="299">
        <v>117.06659999999999</v>
      </c>
      <c r="E52" s="72">
        <v>122.7697</v>
      </c>
    </row>
    <row r="53" spans="2:5" ht="13.5" customHeight="1" thickBot="1">
      <c r="B53" s="182" t="s">
        <v>9</v>
      </c>
      <c r="C53" s="183" t="s">
        <v>41</v>
      </c>
      <c r="D53" s="297">
        <v>113.62350000000001</v>
      </c>
      <c r="E53" s="246">
        <v>117.2548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46152.66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46152.66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46152.66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46152.66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5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222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728873.92</v>
      </c>
      <c r="E11" s="211">
        <f>SUM(E12:E14)</f>
        <v>827027.87</v>
      </c>
    </row>
    <row r="12" spans="2:5">
      <c r="B12" s="167" t="s">
        <v>4</v>
      </c>
      <c r="C12" s="168" t="s">
        <v>5</v>
      </c>
      <c r="D12" s="271">
        <v>728873.92</v>
      </c>
      <c r="E12" s="216">
        <v>827027.87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728873.92</v>
      </c>
      <c r="E21" s="145">
        <f>E11-E17</f>
        <v>827027.87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980258.88</v>
      </c>
      <c r="E26" s="206">
        <f>D21</f>
        <v>728873.92</v>
      </c>
    </row>
    <row r="27" spans="2:6">
      <c r="B27" s="9" t="s">
        <v>17</v>
      </c>
      <c r="C27" s="10" t="s">
        <v>111</v>
      </c>
      <c r="D27" s="285">
        <v>-224126.32</v>
      </c>
      <c r="E27" s="240">
        <v>-7512.2300000000005</v>
      </c>
      <c r="F27" s="70"/>
    </row>
    <row r="28" spans="2:6">
      <c r="B28" s="9" t="s">
        <v>18</v>
      </c>
      <c r="C28" s="10" t="s">
        <v>19</v>
      </c>
      <c r="D28" s="285">
        <v>384.07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384.07</v>
      </c>
      <c r="E31" s="242"/>
      <c r="F31" s="70"/>
    </row>
    <row r="32" spans="2:6">
      <c r="B32" s="89" t="s">
        <v>23</v>
      </c>
      <c r="C32" s="11" t="s">
        <v>24</v>
      </c>
      <c r="D32" s="285">
        <v>224510.39</v>
      </c>
      <c r="E32" s="241">
        <v>7512.2300000000005</v>
      </c>
      <c r="F32" s="70"/>
    </row>
    <row r="33" spans="2:6">
      <c r="B33" s="175" t="s">
        <v>4</v>
      </c>
      <c r="C33" s="168" t="s">
        <v>25</v>
      </c>
      <c r="D33" s="286">
        <v>216504.1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2551.37</v>
      </c>
      <c r="E35" s="242">
        <v>1164.18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5454.92</v>
      </c>
      <c r="E37" s="242">
        <v>6348.05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-86155.9</v>
      </c>
      <c r="E40" s="245">
        <v>105666.18</v>
      </c>
    </row>
    <row r="41" spans="2:6" ht="13.5" thickBot="1">
      <c r="B41" s="96" t="s">
        <v>37</v>
      </c>
      <c r="C41" s="97" t="s">
        <v>38</v>
      </c>
      <c r="D41" s="289">
        <v>669976.66</v>
      </c>
      <c r="E41" s="145">
        <f>E26+E27+E40</f>
        <v>827027.87000000011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7697.27</v>
      </c>
      <c r="E47" s="300">
        <v>5854.71</v>
      </c>
    </row>
    <row r="48" spans="2:6">
      <c r="B48" s="180" t="s">
        <v>6</v>
      </c>
      <c r="C48" s="181" t="s">
        <v>41</v>
      </c>
      <c r="D48" s="299">
        <v>5949.33</v>
      </c>
      <c r="E48" s="146">
        <v>5798.13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127.3515</v>
      </c>
      <c r="E50" s="72">
        <v>124.4936</v>
      </c>
    </row>
    <row r="51" spans="2:5">
      <c r="B51" s="178" t="s">
        <v>6</v>
      </c>
      <c r="C51" s="179" t="s">
        <v>114</v>
      </c>
      <c r="D51" s="299">
        <v>82.441999999999993</v>
      </c>
      <c r="E51" s="72">
        <v>124.4936</v>
      </c>
    </row>
    <row r="52" spans="2:5">
      <c r="B52" s="178" t="s">
        <v>8</v>
      </c>
      <c r="C52" s="179" t="s">
        <v>115</v>
      </c>
      <c r="D52" s="299">
        <v>132.7835</v>
      </c>
      <c r="E52" s="72">
        <v>145.04750000000001</v>
      </c>
    </row>
    <row r="53" spans="2:5" ht="12.75" customHeight="1" thickBot="1">
      <c r="B53" s="182" t="s">
        <v>9</v>
      </c>
      <c r="C53" s="183" t="s">
        <v>41</v>
      </c>
      <c r="D53" s="297">
        <v>112.6138</v>
      </c>
      <c r="E53" s="246">
        <v>142.637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827027.87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827027.87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827027.87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827027.87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L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124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210"/>
      <c r="C10" s="198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238413.99000000002</v>
      </c>
      <c r="E11" s="211">
        <f>SUM(E12:E14)</f>
        <v>487620.99000000005</v>
      </c>
    </row>
    <row r="12" spans="2:7">
      <c r="B12" s="167" t="s">
        <v>4</v>
      </c>
      <c r="C12" s="214" t="s">
        <v>5</v>
      </c>
      <c r="D12" s="271">
        <f>210978.01+26843.1</f>
        <v>237821.11000000002</v>
      </c>
      <c r="E12" s="216">
        <f>458736.07+25252.07</f>
        <v>483988.14</v>
      </c>
    </row>
    <row r="13" spans="2:7">
      <c r="B13" s="167" t="s">
        <v>6</v>
      </c>
      <c r="C13" s="214" t="s">
        <v>7</v>
      </c>
      <c r="D13" s="272">
        <v>179.28</v>
      </c>
      <c r="E13" s="217">
        <v>2233.5300000000002</v>
      </c>
    </row>
    <row r="14" spans="2:7">
      <c r="B14" s="167" t="s">
        <v>8</v>
      </c>
      <c r="C14" s="214" t="s">
        <v>10</v>
      </c>
      <c r="D14" s="272">
        <f>D15</f>
        <v>413.6</v>
      </c>
      <c r="E14" s="217">
        <f>E15</f>
        <v>1399.32</v>
      </c>
    </row>
    <row r="15" spans="2:7">
      <c r="B15" s="167" t="s">
        <v>106</v>
      </c>
      <c r="C15" s="214" t="s">
        <v>11</v>
      </c>
      <c r="D15" s="272">
        <v>413.6</v>
      </c>
      <c r="E15" s="217">
        <v>1399.32</v>
      </c>
    </row>
    <row r="16" spans="2:7">
      <c r="B16" s="170" t="s">
        <v>107</v>
      </c>
      <c r="C16" s="215" t="s">
        <v>12</v>
      </c>
      <c r="D16" s="273"/>
      <c r="E16" s="218"/>
    </row>
    <row r="17" spans="2:12">
      <c r="B17" s="9" t="s">
        <v>13</v>
      </c>
      <c r="C17" s="190" t="s">
        <v>65</v>
      </c>
      <c r="D17" s="274">
        <f>D18</f>
        <v>1632.48</v>
      </c>
      <c r="E17" s="219">
        <f>E18</f>
        <v>1486.46</v>
      </c>
    </row>
    <row r="18" spans="2:12">
      <c r="B18" s="167" t="s">
        <v>4</v>
      </c>
      <c r="C18" s="214" t="s">
        <v>11</v>
      </c>
      <c r="D18" s="273">
        <v>1632.48</v>
      </c>
      <c r="E18" s="218">
        <v>1486.46</v>
      </c>
    </row>
    <row r="19" spans="2:12" ht="15" customHeight="1">
      <c r="B19" s="167" t="s">
        <v>6</v>
      </c>
      <c r="C19" s="214" t="s">
        <v>108</v>
      </c>
      <c r="D19" s="272"/>
      <c r="E19" s="217"/>
    </row>
    <row r="20" spans="2:12" ht="13.5" thickBot="1">
      <c r="B20" s="172" t="s">
        <v>8</v>
      </c>
      <c r="C20" s="173" t="s">
        <v>14</v>
      </c>
      <c r="D20" s="275"/>
      <c r="E20" s="212"/>
    </row>
    <row r="21" spans="2:12" ht="13.5" thickBot="1">
      <c r="B21" s="362" t="s">
        <v>110</v>
      </c>
      <c r="C21" s="363"/>
      <c r="D21" s="276">
        <f>D11-D17</f>
        <v>236781.51</v>
      </c>
      <c r="E21" s="145">
        <f>E11-E17</f>
        <v>486134.53</v>
      </c>
      <c r="F21" s="74"/>
    </row>
    <row r="22" spans="2:12">
      <c r="B22" s="3"/>
      <c r="C22" s="7"/>
      <c r="D22" s="8"/>
      <c r="E22" s="8"/>
    </row>
    <row r="23" spans="2:12" ht="13.5">
      <c r="B23" s="356" t="s">
        <v>104</v>
      </c>
      <c r="C23" s="364"/>
      <c r="D23" s="364"/>
      <c r="E23" s="364"/>
    </row>
    <row r="24" spans="2:12" ht="16.5" customHeight="1" thickBot="1">
      <c r="B24" s="355" t="s">
        <v>105</v>
      </c>
      <c r="C24" s="365"/>
      <c r="D24" s="365"/>
      <c r="E24" s="365"/>
    </row>
    <row r="25" spans="2:12" ht="13.5" thickBot="1">
      <c r="B25" s="210"/>
      <c r="C25" s="174" t="s">
        <v>2</v>
      </c>
      <c r="D25" s="256" t="s">
        <v>262</v>
      </c>
      <c r="E25" s="223" t="s">
        <v>260</v>
      </c>
    </row>
    <row r="26" spans="2:12">
      <c r="B26" s="92" t="s">
        <v>15</v>
      </c>
      <c r="C26" s="93" t="s">
        <v>16</v>
      </c>
      <c r="D26" s="284">
        <v>263695.96999999997</v>
      </c>
      <c r="E26" s="206">
        <f>D21</f>
        <v>236781.51</v>
      </c>
    </row>
    <row r="27" spans="2:12">
      <c r="B27" s="9" t="s">
        <v>17</v>
      </c>
      <c r="C27" s="10" t="s">
        <v>111</v>
      </c>
      <c r="D27" s="285">
        <v>46207.78</v>
      </c>
      <c r="E27" s="240">
        <v>139505.87999999998</v>
      </c>
      <c r="F27" s="70"/>
    </row>
    <row r="28" spans="2:12">
      <c r="B28" s="9" t="s">
        <v>18</v>
      </c>
      <c r="C28" s="10" t="s">
        <v>19</v>
      </c>
      <c r="D28" s="285">
        <v>61456.73</v>
      </c>
      <c r="E28" s="241">
        <v>189911.97999999998</v>
      </c>
      <c r="F28" s="70"/>
    </row>
    <row r="29" spans="2:12">
      <c r="B29" s="175" t="s">
        <v>4</v>
      </c>
      <c r="C29" s="168" t="s">
        <v>20</v>
      </c>
      <c r="D29" s="286">
        <v>41366.160000000003</v>
      </c>
      <c r="E29" s="242">
        <v>57217.65</v>
      </c>
      <c r="F29" s="70"/>
    </row>
    <row r="30" spans="2:12">
      <c r="B30" s="175" t="s">
        <v>6</v>
      </c>
      <c r="C30" s="168" t="s">
        <v>21</v>
      </c>
      <c r="D30" s="286"/>
      <c r="E30" s="242"/>
      <c r="F30" s="70"/>
      <c r="L30" s="224"/>
    </row>
    <row r="31" spans="2:12">
      <c r="B31" s="175" t="s">
        <v>8</v>
      </c>
      <c r="C31" s="168" t="s">
        <v>22</v>
      </c>
      <c r="D31" s="286">
        <v>20090.57</v>
      </c>
      <c r="E31" s="242">
        <v>132694.32999999999</v>
      </c>
      <c r="F31" s="70"/>
    </row>
    <row r="32" spans="2:12">
      <c r="B32" s="89" t="s">
        <v>23</v>
      </c>
      <c r="C32" s="11" t="s">
        <v>24</v>
      </c>
      <c r="D32" s="285">
        <v>15248.95</v>
      </c>
      <c r="E32" s="241">
        <v>50406.100000000006</v>
      </c>
      <c r="F32" s="70"/>
    </row>
    <row r="33" spans="2:12">
      <c r="B33" s="175" t="s">
        <v>4</v>
      </c>
      <c r="C33" s="168" t="s">
        <v>25</v>
      </c>
      <c r="D33" s="286">
        <v>10957.81</v>
      </c>
      <c r="E33" s="242">
        <v>47415.16</v>
      </c>
      <c r="F33" s="70"/>
    </row>
    <row r="34" spans="2:12">
      <c r="B34" s="175" t="s">
        <v>6</v>
      </c>
      <c r="C34" s="168" t="s">
        <v>26</v>
      </c>
      <c r="D34" s="286"/>
      <c r="E34" s="242"/>
      <c r="F34" s="70"/>
      <c r="L34" s="166"/>
    </row>
    <row r="35" spans="2:12">
      <c r="B35" s="175" t="s">
        <v>8</v>
      </c>
      <c r="C35" s="168" t="s">
        <v>27</v>
      </c>
      <c r="D35" s="286">
        <v>3038.61</v>
      </c>
      <c r="E35" s="242">
        <v>2946.87</v>
      </c>
      <c r="F35" s="70"/>
    </row>
    <row r="36" spans="2:12">
      <c r="B36" s="175" t="s">
        <v>9</v>
      </c>
      <c r="C36" s="168" t="s">
        <v>28</v>
      </c>
      <c r="D36" s="286"/>
      <c r="E36" s="242"/>
      <c r="F36" s="70"/>
    </row>
    <row r="37" spans="2:12" ht="25.5">
      <c r="B37" s="175" t="s">
        <v>29</v>
      </c>
      <c r="C37" s="168" t="s">
        <v>30</v>
      </c>
      <c r="D37" s="286"/>
      <c r="E37" s="242"/>
      <c r="F37" s="70"/>
    </row>
    <row r="38" spans="2:12">
      <c r="B38" s="175" t="s">
        <v>31</v>
      </c>
      <c r="C38" s="168" t="s">
        <v>32</v>
      </c>
      <c r="D38" s="286"/>
      <c r="E38" s="242"/>
      <c r="F38" s="70"/>
    </row>
    <row r="39" spans="2:12">
      <c r="B39" s="176" t="s">
        <v>33</v>
      </c>
      <c r="C39" s="177" t="s">
        <v>34</v>
      </c>
      <c r="D39" s="287">
        <v>1252.53</v>
      </c>
      <c r="E39" s="243">
        <v>44.07</v>
      </c>
      <c r="F39" s="70"/>
    </row>
    <row r="40" spans="2:12" ht="13.5" thickBot="1">
      <c r="B40" s="94" t="s">
        <v>35</v>
      </c>
      <c r="C40" s="95" t="s">
        <v>36</v>
      </c>
      <c r="D40" s="288">
        <v>-66274.55</v>
      </c>
      <c r="E40" s="245">
        <v>109847.14</v>
      </c>
    </row>
    <row r="41" spans="2:12" ht="13.5" thickBot="1">
      <c r="B41" s="96" t="s">
        <v>37</v>
      </c>
      <c r="C41" s="97" t="s">
        <v>38</v>
      </c>
      <c r="D41" s="289">
        <v>243629.2</v>
      </c>
      <c r="E41" s="145">
        <f>E26+E27+E40</f>
        <v>486134.53</v>
      </c>
      <c r="F41" s="74"/>
    </row>
    <row r="42" spans="2:12">
      <c r="B42" s="90"/>
      <c r="C42" s="90"/>
      <c r="D42" s="91"/>
      <c r="E42" s="91"/>
      <c r="F42" s="74"/>
    </row>
    <row r="43" spans="2:12" ht="13.5">
      <c r="B43" s="357" t="s">
        <v>60</v>
      </c>
      <c r="C43" s="358"/>
      <c r="D43" s="358"/>
      <c r="E43" s="358"/>
    </row>
    <row r="44" spans="2:12" ht="15.75" customHeight="1" thickBot="1">
      <c r="B44" s="355" t="s">
        <v>121</v>
      </c>
      <c r="C44" s="359"/>
      <c r="D44" s="359"/>
      <c r="E44" s="359"/>
    </row>
    <row r="45" spans="2:12" ht="13.5" thickBot="1">
      <c r="B45" s="83"/>
      <c r="C45" s="29" t="s">
        <v>39</v>
      </c>
      <c r="D45" s="256" t="s">
        <v>262</v>
      </c>
      <c r="E45" s="223" t="s">
        <v>260</v>
      </c>
    </row>
    <row r="46" spans="2:12">
      <c r="B46" s="13" t="s">
        <v>18</v>
      </c>
      <c r="C46" s="30" t="s">
        <v>112</v>
      </c>
      <c r="D46" s="98"/>
      <c r="E46" s="28"/>
    </row>
    <row r="47" spans="2:12">
      <c r="B47" s="99" t="s">
        <v>4</v>
      </c>
      <c r="C47" s="15" t="s">
        <v>40</v>
      </c>
      <c r="D47" s="299">
        <v>34295.900099999999</v>
      </c>
      <c r="E47" s="300">
        <v>44061.918400000002</v>
      </c>
    </row>
    <row r="48" spans="2:12">
      <c r="B48" s="120" t="s">
        <v>6</v>
      </c>
      <c r="C48" s="22" t="s">
        <v>41</v>
      </c>
      <c r="D48" s="299">
        <v>43242.351900000001</v>
      </c>
      <c r="E48" s="310">
        <v>67766.215500000006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7.6886000000000001</v>
      </c>
      <c r="E50" s="294">
        <v>5.3738999999999999</v>
      </c>
    </row>
    <row r="51" spans="2:5">
      <c r="B51" s="99" t="s">
        <v>6</v>
      </c>
      <c r="C51" s="15" t="s">
        <v>114</v>
      </c>
      <c r="D51" s="299">
        <v>3.6722000000000001</v>
      </c>
      <c r="E51" s="316">
        <v>5.3277999999999999</v>
      </c>
    </row>
    <row r="52" spans="2:5">
      <c r="B52" s="99" t="s">
        <v>8</v>
      </c>
      <c r="C52" s="15" t="s">
        <v>115</v>
      </c>
      <c r="D52" s="299">
        <v>7.7778999999999998</v>
      </c>
      <c r="E52" s="72">
        <v>7.3326000000000002</v>
      </c>
    </row>
    <row r="53" spans="2:5" ht="13.5" thickBot="1">
      <c r="B53" s="100" t="s">
        <v>9</v>
      </c>
      <c r="C53" s="17" t="s">
        <v>41</v>
      </c>
      <c r="D53" s="297">
        <v>5.6341000000000001</v>
      </c>
      <c r="E53" s="246">
        <v>7.1738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483988.14</v>
      </c>
      <c r="E58" s="31">
        <f>D58/E21</f>
        <v>0.99558478185040666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4" customHeight="1">
      <c r="B60" s="14" t="s">
        <v>6</v>
      </c>
      <c r="C60" s="15" t="s">
        <v>45</v>
      </c>
      <c r="D60" s="75">
        <v>0</v>
      </c>
      <c r="E60" s="76">
        <v>0</v>
      </c>
    </row>
    <row r="61" spans="2:5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458736.07</v>
      </c>
      <c r="E62" s="76">
        <f>D62/E21</f>
        <v>0.9436401689055085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306">
        <v>0</v>
      </c>
      <c r="E64" s="78">
        <f>D64/E21</f>
        <v>0</v>
      </c>
    </row>
    <row r="65" spans="2:5">
      <c r="B65" s="21" t="s">
        <v>33</v>
      </c>
      <c r="C65" s="22" t="s">
        <v>118</v>
      </c>
      <c r="D65" s="77">
        <v>0</v>
      </c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298">
        <v>25252.07</v>
      </c>
      <c r="E69" s="76">
        <f>D69/E21</f>
        <v>5.1944612944898189E-2</v>
      </c>
    </row>
    <row r="70" spans="2:5">
      <c r="B70" s="109" t="s">
        <v>58</v>
      </c>
      <c r="C70" s="110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2233.5300000000002</v>
      </c>
      <c r="E71" s="65">
        <f>D71/E21</f>
        <v>4.5944689425785083E-3</v>
      </c>
    </row>
    <row r="72" spans="2:5">
      <c r="B72" s="113" t="s">
        <v>60</v>
      </c>
      <c r="C72" s="114" t="s">
        <v>63</v>
      </c>
      <c r="D72" s="115">
        <f>E14</f>
        <v>1399.32</v>
      </c>
      <c r="E72" s="116">
        <f>D72/E21</f>
        <v>2.8784624700491854E-3</v>
      </c>
    </row>
    <row r="73" spans="2:5">
      <c r="B73" s="23" t="s">
        <v>62</v>
      </c>
      <c r="C73" s="24" t="s">
        <v>65</v>
      </c>
      <c r="D73" s="25">
        <f>E17</f>
        <v>1486.46</v>
      </c>
      <c r="E73" s="26">
        <f>D73/E21</f>
        <v>3.0577132630344112E-3</v>
      </c>
    </row>
    <row r="74" spans="2:5">
      <c r="B74" s="117" t="s">
        <v>64</v>
      </c>
      <c r="C74" s="118" t="s">
        <v>66</v>
      </c>
      <c r="D74" s="119">
        <f>D58+D71+D72-D73</f>
        <v>486134.53</v>
      </c>
      <c r="E74" s="65">
        <f>E58+E71+E72-E73</f>
        <v>0.99999999999999989</v>
      </c>
    </row>
    <row r="75" spans="2:5">
      <c r="B75" s="14" t="s">
        <v>4</v>
      </c>
      <c r="C75" s="15" t="s">
        <v>67</v>
      </c>
      <c r="D75" s="75">
        <f>D74-D77</f>
        <v>116567.46000000008</v>
      </c>
      <c r="E75" s="76">
        <f>D75/E21</f>
        <v>0.23978436586267607</v>
      </c>
    </row>
    <row r="76" spans="2:5">
      <c r="B76" s="14" t="s">
        <v>6</v>
      </c>
      <c r="C76" s="15" t="s">
        <v>119</v>
      </c>
      <c r="D76" s="75">
        <v>0</v>
      </c>
      <c r="E76" s="76">
        <f>D76/E21</f>
        <v>0</v>
      </c>
    </row>
    <row r="77" spans="2:5" ht="13.5" thickBot="1">
      <c r="B77" s="16" t="s">
        <v>8</v>
      </c>
      <c r="C77" s="17" t="s">
        <v>120</v>
      </c>
      <c r="D77" s="79">
        <v>369567.06999999995</v>
      </c>
      <c r="E77" s="80">
        <f>D77/E21</f>
        <v>0.76021563413732396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6">
    <pageSetUpPr fitToPage="1"/>
  </sheetPr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223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259507.26</v>
      </c>
      <c r="E11" s="211">
        <f>SUM(E12:E14)</f>
        <v>300819.86</v>
      </c>
    </row>
    <row r="12" spans="2:5">
      <c r="B12" s="167" t="s">
        <v>4</v>
      </c>
      <c r="C12" s="168" t="s">
        <v>5</v>
      </c>
      <c r="D12" s="271">
        <v>259507.26</v>
      </c>
      <c r="E12" s="216">
        <v>300819.86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259507.26</v>
      </c>
      <c r="E21" s="145">
        <f>E11-E17</f>
        <v>300819.86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274947.51</v>
      </c>
      <c r="E26" s="206">
        <f>D21</f>
        <v>259507.26</v>
      </c>
    </row>
    <row r="27" spans="2:6">
      <c r="B27" s="9" t="s">
        <v>17</v>
      </c>
      <c r="C27" s="10" t="s">
        <v>111</v>
      </c>
      <c r="D27" s="285">
        <v>-2728.7599999999998</v>
      </c>
      <c r="E27" s="240">
        <v>-1921.02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2728.7599999999998</v>
      </c>
      <c r="E32" s="241">
        <v>1921.02</v>
      </c>
      <c r="F32" s="70"/>
    </row>
    <row r="33" spans="2:6">
      <c r="B33" s="175" t="s">
        <v>4</v>
      </c>
      <c r="C33" s="168" t="s">
        <v>25</v>
      </c>
      <c r="D33" s="286">
        <v>949.55</v>
      </c>
      <c r="E33" s="242">
        <v>4.2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96.59</v>
      </c>
      <c r="E35" s="242">
        <v>22.53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1682.62</v>
      </c>
      <c r="E37" s="242">
        <v>1894.29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-49763.49</v>
      </c>
      <c r="E40" s="245">
        <v>43233.62</v>
      </c>
    </row>
    <row r="41" spans="2:6" ht="13.5" thickBot="1">
      <c r="B41" s="96" t="s">
        <v>37</v>
      </c>
      <c r="C41" s="97" t="s">
        <v>38</v>
      </c>
      <c r="D41" s="289">
        <v>222455.26</v>
      </c>
      <c r="E41" s="145">
        <f>E26+E27+E40</f>
        <v>300819.86000000004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648.3900000000001</v>
      </c>
      <c r="E47" s="300">
        <v>617.71</v>
      </c>
    </row>
    <row r="48" spans="2:6">
      <c r="B48" s="180" t="s">
        <v>6</v>
      </c>
      <c r="C48" s="181" t="s">
        <v>41</v>
      </c>
      <c r="D48" s="299">
        <v>640.6</v>
      </c>
      <c r="E48" s="146">
        <v>613.48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424.04649999999998</v>
      </c>
      <c r="E50" s="72">
        <v>420.11180000000002</v>
      </c>
    </row>
    <row r="51" spans="2:5">
      <c r="B51" s="178" t="s">
        <v>6</v>
      </c>
      <c r="C51" s="179" t="s">
        <v>114</v>
      </c>
      <c r="D51" s="299">
        <v>292.90679999999998</v>
      </c>
      <c r="E51" s="72">
        <v>419.17739999999998</v>
      </c>
    </row>
    <row r="52" spans="2:5">
      <c r="B52" s="178" t="s">
        <v>8</v>
      </c>
      <c r="C52" s="179" t="s">
        <v>115</v>
      </c>
      <c r="D52" s="299">
        <v>430.68419999999998</v>
      </c>
      <c r="E52" s="249">
        <v>490.77550000000002</v>
      </c>
    </row>
    <row r="53" spans="2:5" ht="12.75" customHeight="1" thickBot="1">
      <c r="B53" s="182" t="s">
        <v>9</v>
      </c>
      <c r="C53" s="183" t="s">
        <v>41</v>
      </c>
      <c r="D53" s="297">
        <v>347.26080000000002</v>
      </c>
      <c r="E53" s="246">
        <v>490.34989999999999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300819.86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300819.86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300819.86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300819.86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7">
    <pageSetUpPr fitToPage="1"/>
  </sheetPr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224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466656.9</v>
      </c>
      <c r="E11" s="211">
        <f>SUM(E12:E14)</f>
        <v>481565.03</v>
      </c>
    </row>
    <row r="12" spans="2:5">
      <c r="B12" s="167" t="s">
        <v>4</v>
      </c>
      <c r="C12" s="168" t="s">
        <v>5</v>
      </c>
      <c r="D12" s="271">
        <v>466656.9</v>
      </c>
      <c r="E12" s="216">
        <v>481565.03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466656.9</v>
      </c>
      <c r="E21" s="145">
        <f>E11-E17</f>
        <v>481565.03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638911.03</v>
      </c>
      <c r="E26" s="206">
        <f>D21</f>
        <v>466656.9</v>
      </c>
    </row>
    <row r="27" spans="2:6">
      <c r="B27" s="9" t="s">
        <v>17</v>
      </c>
      <c r="C27" s="10" t="s">
        <v>111</v>
      </c>
      <c r="D27" s="285">
        <v>-174109.77</v>
      </c>
      <c r="E27" s="240">
        <v>-9441.9500000000007</v>
      </c>
      <c r="F27" s="70"/>
    </row>
    <row r="28" spans="2:6">
      <c r="B28" s="9" t="s">
        <v>18</v>
      </c>
      <c r="C28" s="10" t="s">
        <v>19</v>
      </c>
      <c r="D28" s="285">
        <v>127.35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127.35</v>
      </c>
      <c r="E31" s="242"/>
      <c r="F31" s="70"/>
    </row>
    <row r="32" spans="2:6">
      <c r="B32" s="89" t="s">
        <v>23</v>
      </c>
      <c r="C32" s="11" t="s">
        <v>24</v>
      </c>
      <c r="D32" s="285">
        <v>174237.12</v>
      </c>
      <c r="E32" s="241">
        <v>9441.9500000000007</v>
      </c>
      <c r="F32" s="70"/>
    </row>
    <row r="33" spans="2:6">
      <c r="B33" s="175" t="s">
        <v>4</v>
      </c>
      <c r="C33" s="168" t="s">
        <v>25</v>
      </c>
      <c r="D33" s="286">
        <v>170805.05</v>
      </c>
      <c r="E33" s="242">
        <v>5713.63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308.83999999999997</v>
      </c>
      <c r="E35" s="242">
        <v>192.67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3123.23</v>
      </c>
      <c r="E37" s="242">
        <v>3535.65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-28566.1</v>
      </c>
      <c r="E40" s="245">
        <v>24350.080000000002</v>
      </c>
    </row>
    <row r="41" spans="2:6" ht="13.5" thickBot="1">
      <c r="B41" s="96" t="s">
        <v>37</v>
      </c>
      <c r="C41" s="97" t="s">
        <v>38</v>
      </c>
      <c r="D41" s="289">
        <v>436235.16000000003</v>
      </c>
      <c r="E41" s="145">
        <f>E26+E27+E40</f>
        <v>481565.03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1018.9</v>
      </c>
      <c r="E47" s="300">
        <v>721.98</v>
      </c>
    </row>
    <row r="48" spans="2:6">
      <c r="B48" s="180" t="s">
        <v>6</v>
      </c>
      <c r="C48" s="181" t="s">
        <v>41</v>
      </c>
      <c r="D48" s="299">
        <v>737.55</v>
      </c>
      <c r="E48" s="146">
        <v>707.98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627.05960000000005</v>
      </c>
      <c r="E50" s="72">
        <v>646.35709999999995</v>
      </c>
    </row>
    <row r="51" spans="2:5">
      <c r="B51" s="178" t="s">
        <v>6</v>
      </c>
      <c r="C51" s="179" t="s">
        <v>114</v>
      </c>
      <c r="D51" s="299">
        <v>515.66719999999998</v>
      </c>
      <c r="E51" s="72">
        <v>646.35709999999995</v>
      </c>
    </row>
    <row r="52" spans="2:5">
      <c r="B52" s="178" t="s">
        <v>8</v>
      </c>
      <c r="C52" s="179" t="s">
        <v>115</v>
      </c>
      <c r="D52" s="299">
        <v>643.92870000000005</v>
      </c>
      <c r="E52" s="72">
        <v>681.82759999999996</v>
      </c>
    </row>
    <row r="53" spans="2:5" ht="13.5" customHeight="1" thickBot="1">
      <c r="B53" s="182" t="s">
        <v>9</v>
      </c>
      <c r="C53" s="183" t="s">
        <v>41</v>
      </c>
      <c r="D53" s="297">
        <v>591.46519999999998</v>
      </c>
      <c r="E53" s="246">
        <v>680.19579999999996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481565.03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481565.03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481565.03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481565.03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8">
    <pageSetUpPr fitToPage="1"/>
  </sheetPr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253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456110.3</v>
      </c>
      <c r="E11" s="211">
        <f>SUM(E12:E14)</f>
        <v>457185.45</v>
      </c>
    </row>
    <row r="12" spans="2:5">
      <c r="B12" s="167" t="s">
        <v>4</v>
      </c>
      <c r="C12" s="168" t="s">
        <v>5</v>
      </c>
      <c r="D12" s="271">
        <v>456110.3</v>
      </c>
      <c r="E12" s="216">
        <v>457185.45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456110.3</v>
      </c>
      <c r="E21" s="145">
        <f>E11-E17</f>
        <v>457185.45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726792.91</v>
      </c>
      <c r="E26" s="206">
        <f>D21</f>
        <v>456110.3</v>
      </c>
    </row>
    <row r="27" spans="2:6">
      <c r="B27" s="9" t="s">
        <v>17</v>
      </c>
      <c r="C27" s="10" t="s">
        <v>111</v>
      </c>
      <c r="D27" s="285">
        <v>-295927.95</v>
      </c>
      <c r="E27" s="240">
        <v>-3909.58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295927.95</v>
      </c>
      <c r="E32" s="241">
        <v>3909.58</v>
      </c>
      <c r="F32" s="70"/>
    </row>
    <row r="33" spans="2:6">
      <c r="B33" s="175" t="s">
        <v>4</v>
      </c>
      <c r="C33" s="168" t="s">
        <v>25</v>
      </c>
      <c r="D33" s="286">
        <v>291248.15999999997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699.09</v>
      </c>
      <c r="E35" s="242">
        <v>265.95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3980.7</v>
      </c>
      <c r="E37" s="242">
        <v>3643.63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-4460.38</v>
      </c>
      <c r="E40" s="245">
        <v>4984.7299999999996</v>
      </c>
    </row>
    <row r="41" spans="2:6" ht="13.5" thickBot="1">
      <c r="B41" s="96" t="s">
        <v>37</v>
      </c>
      <c r="C41" s="97" t="s">
        <v>38</v>
      </c>
      <c r="D41" s="289">
        <v>426404.58</v>
      </c>
      <c r="E41" s="145">
        <f>E26+E27+E40</f>
        <v>457185.44999999995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1853.3</v>
      </c>
      <c r="E47" s="300">
        <v>1095.28</v>
      </c>
    </row>
    <row r="48" spans="2:6">
      <c r="B48" s="180" t="s">
        <v>6</v>
      </c>
      <c r="C48" s="181" t="s">
        <v>41</v>
      </c>
      <c r="D48" s="299">
        <v>1105.53</v>
      </c>
      <c r="E48" s="146">
        <v>1085.8800000000001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392.16149999999999</v>
      </c>
      <c r="E50" s="72">
        <v>416.43259999999998</v>
      </c>
    </row>
    <row r="51" spans="2:5">
      <c r="B51" s="178" t="s">
        <v>6</v>
      </c>
      <c r="C51" s="179" t="s">
        <v>114</v>
      </c>
      <c r="D51" s="299">
        <v>312.63310000000001</v>
      </c>
      <c r="E51" s="72">
        <v>411.57850000000002</v>
      </c>
    </row>
    <row r="52" spans="2:5">
      <c r="B52" s="178" t="s">
        <v>8</v>
      </c>
      <c r="C52" s="179" t="s">
        <v>115</v>
      </c>
      <c r="D52" s="299">
        <v>400.08839999999998</v>
      </c>
      <c r="E52" s="72">
        <v>421.17739999999998</v>
      </c>
    </row>
    <row r="53" spans="2:5" ht="14.25" customHeight="1" thickBot="1">
      <c r="B53" s="182" t="s">
        <v>9</v>
      </c>
      <c r="C53" s="183" t="s">
        <v>41</v>
      </c>
      <c r="D53" s="297">
        <v>385.70150000000001</v>
      </c>
      <c r="E53" s="246">
        <v>421.02760000000001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457185.45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457185.45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457185.45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457185.45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9">
    <pageSetUpPr fitToPage="1"/>
  </sheetPr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237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/>
      <c r="E11" s="211"/>
    </row>
    <row r="12" spans="2:5">
      <c r="B12" s="167" t="s">
        <v>4</v>
      </c>
      <c r="C12" s="168" t="s">
        <v>5</v>
      </c>
      <c r="D12" s="271"/>
      <c r="E12" s="216"/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/>
      <c r="E21" s="145"/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/>
      <c r="E26" s="206">
        <f>D21</f>
        <v>0</v>
      </c>
    </row>
    <row r="27" spans="2:6">
      <c r="B27" s="9" t="s">
        <v>17</v>
      </c>
      <c r="C27" s="10" t="s">
        <v>111</v>
      </c>
      <c r="D27" s="285">
        <v>0.47</v>
      </c>
      <c r="E27" s="240">
        <v>0.57999999999999996</v>
      </c>
      <c r="F27" s="70"/>
    </row>
    <row r="28" spans="2:6">
      <c r="B28" s="9" t="s">
        <v>18</v>
      </c>
      <c r="C28" s="10" t="s">
        <v>19</v>
      </c>
      <c r="D28" s="285"/>
      <c r="E28" s="241">
        <v>0.57999999999999996</v>
      </c>
      <c r="F28" s="70"/>
    </row>
    <row r="29" spans="2:6">
      <c r="B29" s="175" t="s">
        <v>4</v>
      </c>
      <c r="C29" s="168" t="s">
        <v>20</v>
      </c>
      <c r="D29" s="286"/>
      <c r="E29" s="242">
        <v>0</v>
      </c>
      <c r="F29" s="70"/>
    </row>
    <row r="30" spans="2:6">
      <c r="B30" s="175" t="s">
        <v>6</v>
      </c>
      <c r="C30" s="168" t="s">
        <v>21</v>
      </c>
      <c r="D30" s="286"/>
      <c r="E30" s="242">
        <v>0</v>
      </c>
      <c r="F30" s="70"/>
    </row>
    <row r="31" spans="2:6">
      <c r="B31" s="175" t="s">
        <v>8</v>
      </c>
      <c r="C31" s="168" t="s">
        <v>22</v>
      </c>
      <c r="D31" s="286"/>
      <c r="E31" s="242">
        <v>0.57999999999999996</v>
      </c>
      <c r="F31" s="70"/>
    </row>
    <row r="32" spans="2:6">
      <c r="B32" s="89" t="s">
        <v>23</v>
      </c>
      <c r="C32" s="11" t="s">
        <v>24</v>
      </c>
      <c r="D32" s="285">
        <v>0.47</v>
      </c>
      <c r="E32" s="241">
        <v>0</v>
      </c>
      <c r="F32" s="70"/>
    </row>
    <row r="33" spans="2:6">
      <c r="B33" s="175" t="s">
        <v>4</v>
      </c>
      <c r="C33" s="168" t="s">
        <v>25</v>
      </c>
      <c r="D33" s="286">
        <v>0.47</v>
      </c>
      <c r="E33" s="242">
        <v>0</v>
      </c>
      <c r="F33" s="70"/>
    </row>
    <row r="34" spans="2:6">
      <c r="B34" s="175" t="s">
        <v>6</v>
      </c>
      <c r="C34" s="168" t="s">
        <v>26</v>
      </c>
      <c r="D34" s="286"/>
      <c r="E34" s="242">
        <v>0</v>
      </c>
      <c r="F34" s="70"/>
    </row>
    <row r="35" spans="2:6">
      <c r="B35" s="175" t="s">
        <v>8</v>
      </c>
      <c r="C35" s="168" t="s">
        <v>27</v>
      </c>
      <c r="D35" s="286"/>
      <c r="E35" s="242">
        <v>0</v>
      </c>
      <c r="F35" s="70"/>
    </row>
    <row r="36" spans="2:6">
      <c r="B36" s="175" t="s">
        <v>9</v>
      </c>
      <c r="C36" s="168" t="s">
        <v>28</v>
      </c>
      <c r="D36" s="286"/>
      <c r="E36" s="242">
        <v>0</v>
      </c>
      <c r="F36" s="70"/>
    </row>
    <row r="37" spans="2:6" ht="25.5">
      <c r="B37" s="175" t="s">
        <v>29</v>
      </c>
      <c r="C37" s="168" t="s">
        <v>30</v>
      </c>
      <c r="D37" s="286"/>
      <c r="E37" s="242">
        <v>0</v>
      </c>
      <c r="F37" s="70"/>
    </row>
    <row r="38" spans="2:6">
      <c r="B38" s="175" t="s">
        <v>31</v>
      </c>
      <c r="C38" s="168" t="s">
        <v>32</v>
      </c>
      <c r="D38" s="286"/>
      <c r="E38" s="242">
        <v>0</v>
      </c>
      <c r="F38" s="70"/>
    </row>
    <row r="39" spans="2:6">
      <c r="B39" s="176" t="s">
        <v>33</v>
      </c>
      <c r="C39" s="177" t="s">
        <v>34</v>
      </c>
      <c r="D39" s="287"/>
      <c r="E39" s="243">
        <v>0</v>
      </c>
      <c r="F39" s="70"/>
    </row>
    <row r="40" spans="2:6" ht="13.5" thickBot="1">
      <c r="B40" s="94" t="s">
        <v>35</v>
      </c>
      <c r="C40" s="95" t="s">
        <v>36</v>
      </c>
      <c r="D40" s="288">
        <v>0.47</v>
      </c>
      <c r="E40" s="245">
        <v>-0.57999999999999996</v>
      </c>
    </row>
    <row r="41" spans="2:6" ht="13.5" thickBot="1">
      <c r="B41" s="96" t="s">
        <v>37</v>
      </c>
      <c r="C41" s="97" t="s">
        <v>38</v>
      </c>
      <c r="D41" s="289" t="s">
        <v>123</v>
      </c>
      <c r="E41" s="145">
        <f>E26+E27+E40</f>
        <v>0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/>
      <c r="E47" s="300"/>
    </row>
    <row r="48" spans="2:6">
      <c r="B48" s="180" t="s">
        <v>6</v>
      </c>
      <c r="C48" s="181" t="s">
        <v>41</v>
      </c>
      <c r="D48" s="299"/>
      <c r="E48" s="146"/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/>
      <c r="E50" s="72"/>
    </row>
    <row r="51" spans="2:5">
      <c r="B51" s="178" t="s">
        <v>6</v>
      </c>
      <c r="C51" s="179" t="s">
        <v>114</v>
      </c>
      <c r="D51" s="299"/>
      <c r="E51" s="249"/>
    </row>
    <row r="52" spans="2:5">
      <c r="B52" s="178" t="s">
        <v>8</v>
      </c>
      <c r="C52" s="179" t="s">
        <v>115</v>
      </c>
      <c r="D52" s="299"/>
      <c r="E52" s="249"/>
    </row>
    <row r="53" spans="2:5" ht="12.75" customHeight="1" thickBot="1">
      <c r="B53" s="182" t="s">
        <v>9</v>
      </c>
      <c r="C53" s="183" t="s">
        <v>41</v>
      </c>
      <c r="D53" s="297"/>
      <c r="E53" s="246"/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0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0</v>
      </c>
      <c r="E64" s="78"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D58-D73</f>
        <v>0</v>
      </c>
      <c r="E74" s="65">
        <f>E58+E72-E73</f>
        <v>0</v>
      </c>
    </row>
    <row r="75" spans="2:5">
      <c r="B75" s="99" t="s">
        <v>4</v>
      </c>
      <c r="C75" s="15" t="s">
        <v>67</v>
      </c>
      <c r="D75" s="75">
        <f>D74</f>
        <v>0</v>
      </c>
      <c r="E75" s="76">
        <f>E74</f>
        <v>0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0">
    <pageSetUpPr fitToPage="1"/>
  </sheetPr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1"/>
      <c r="C4" s="141"/>
      <c r="D4" s="141"/>
      <c r="E4" s="14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225</v>
      </c>
      <c r="C6" s="354"/>
      <c r="D6" s="354"/>
      <c r="E6" s="354"/>
    </row>
    <row r="7" spans="2:5" ht="14.25">
      <c r="B7" s="139"/>
      <c r="C7" s="139"/>
      <c r="D7" s="139"/>
      <c r="E7" s="139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10186.14</v>
      </c>
      <c r="E11" s="211">
        <f>SUM(E12:E14)</f>
        <v>9999.39</v>
      </c>
    </row>
    <row r="12" spans="2:5">
      <c r="B12" s="167" t="s">
        <v>4</v>
      </c>
      <c r="C12" s="168" t="s">
        <v>5</v>
      </c>
      <c r="D12" s="271">
        <v>10186.14</v>
      </c>
      <c r="E12" s="216">
        <v>9999.39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10186.14</v>
      </c>
      <c r="E21" s="145">
        <f>E11-E17</f>
        <v>9999.39</v>
      </c>
      <c r="F21" s="74"/>
    </row>
    <row r="22" spans="2:6">
      <c r="B22" s="3"/>
      <c r="C22" s="7"/>
      <c r="D22" s="8"/>
      <c r="E22" s="204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9953.7099999999991</v>
      </c>
      <c r="E26" s="206">
        <f>D21</f>
        <v>10186.14</v>
      </c>
    </row>
    <row r="27" spans="2:6">
      <c r="B27" s="9" t="s">
        <v>17</v>
      </c>
      <c r="C27" s="10" t="s">
        <v>111</v>
      </c>
      <c r="D27" s="285">
        <v>-100.9</v>
      </c>
      <c r="E27" s="240">
        <v>-108.39999999999999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100.9</v>
      </c>
      <c r="E32" s="241">
        <v>108.39999999999999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16.43</v>
      </c>
      <c r="E35" s="242">
        <v>16.989999999999998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84.47</v>
      </c>
      <c r="E37" s="242">
        <v>91.41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-187.08</v>
      </c>
      <c r="E40" s="245">
        <v>-78.349999999999994</v>
      </c>
    </row>
    <row r="41" spans="2:6" ht="13.5" thickBot="1">
      <c r="B41" s="96" t="s">
        <v>37</v>
      </c>
      <c r="C41" s="97" t="s">
        <v>38</v>
      </c>
      <c r="D41" s="289">
        <v>9665.73</v>
      </c>
      <c r="E41" s="145">
        <f>E26+E27+E40</f>
        <v>9999.39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70.588700000000003</v>
      </c>
      <c r="E47" s="300">
        <v>69.124200000000002</v>
      </c>
    </row>
    <row r="48" spans="2:6">
      <c r="B48" s="180" t="s">
        <v>6</v>
      </c>
      <c r="C48" s="181" t="s">
        <v>41</v>
      </c>
      <c r="D48" s="299">
        <v>69.828999999999994</v>
      </c>
      <c r="E48" s="146">
        <v>68.390600000000006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141.01</v>
      </c>
      <c r="E50" s="72">
        <v>147.36000000000001</v>
      </c>
    </row>
    <row r="51" spans="2:5">
      <c r="B51" s="178" t="s">
        <v>6</v>
      </c>
      <c r="C51" s="179" t="s">
        <v>114</v>
      </c>
      <c r="D51" s="299">
        <v>121.39</v>
      </c>
      <c r="E51" s="72">
        <v>140.69999999999999</v>
      </c>
    </row>
    <row r="52" spans="2:5">
      <c r="B52" s="178" t="s">
        <v>8</v>
      </c>
      <c r="C52" s="179" t="s">
        <v>115</v>
      </c>
      <c r="D52" s="299">
        <v>141.76</v>
      </c>
      <c r="E52" s="72">
        <v>148.65</v>
      </c>
    </row>
    <row r="53" spans="2:5" ht="12.75" customHeight="1" thickBot="1">
      <c r="B53" s="182" t="s">
        <v>9</v>
      </c>
      <c r="C53" s="183" t="s">
        <v>41</v>
      </c>
      <c r="D53" s="297">
        <v>138.41999999999999</v>
      </c>
      <c r="E53" s="246">
        <v>146.21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9999.39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9999.39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9999.39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9999.39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1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1"/>
      <c r="C4" s="141"/>
      <c r="D4" s="141"/>
      <c r="E4" s="14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226</v>
      </c>
      <c r="C6" s="354"/>
      <c r="D6" s="354"/>
      <c r="E6" s="354"/>
    </row>
    <row r="7" spans="2:5" ht="14.25">
      <c r="B7" s="139"/>
      <c r="C7" s="139"/>
      <c r="D7" s="139"/>
      <c r="E7" s="139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54723.199999999997</v>
      </c>
      <c r="E11" s="211">
        <f>SUM(E12:E14)</f>
        <v>64122.43</v>
      </c>
    </row>
    <row r="12" spans="2:5">
      <c r="B12" s="167" t="s">
        <v>4</v>
      </c>
      <c r="C12" s="168" t="s">
        <v>5</v>
      </c>
      <c r="D12" s="271">
        <v>54723.199999999997</v>
      </c>
      <c r="E12" s="216">
        <v>64122.43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54723.199999999997</v>
      </c>
      <c r="E21" s="145">
        <f>E11-E17</f>
        <v>64122.43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36227.25</v>
      </c>
      <c r="E26" s="206">
        <f>D21</f>
        <v>54723.199999999997</v>
      </c>
    </row>
    <row r="27" spans="2:6">
      <c r="B27" s="9" t="s">
        <v>17</v>
      </c>
      <c r="C27" s="10" t="s">
        <v>111</v>
      </c>
      <c r="D27" s="285">
        <v>19674.890000000003</v>
      </c>
      <c r="E27" s="240">
        <v>-357.34000000000015</v>
      </c>
      <c r="F27" s="70"/>
    </row>
    <row r="28" spans="2:6">
      <c r="B28" s="9" t="s">
        <v>18</v>
      </c>
      <c r="C28" s="10" t="s">
        <v>19</v>
      </c>
      <c r="D28" s="285">
        <v>20073.400000000001</v>
      </c>
      <c r="E28" s="241">
        <v>23278.02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20073.400000000001</v>
      </c>
      <c r="E31" s="242">
        <v>23278.02</v>
      </c>
      <c r="F31" s="70"/>
    </row>
    <row r="32" spans="2:6">
      <c r="B32" s="89" t="s">
        <v>23</v>
      </c>
      <c r="C32" s="11" t="s">
        <v>24</v>
      </c>
      <c r="D32" s="285">
        <v>398.51</v>
      </c>
      <c r="E32" s="241">
        <v>23635.360000000001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19.8</v>
      </c>
      <c r="E35" s="242">
        <v>10.7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378.71</v>
      </c>
      <c r="E37" s="242">
        <v>665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22959.66</v>
      </c>
      <c r="F39" s="70"/>
    </row>
    <row r="40" spans="2:6" ht="13.5" thickBot="1">
      <c r="B40" s="94" t="s">
        <v>35</v>
      </c>
      <c r="C40" s="95" t="s">
        <v>36</v>
      </c>
      <c r="D40" s="288">
        <v>12320.33</v>
      </c>
      <c r="E40" s="245">
        <v>9756.57</v>
      </c>
    </row>
    <row r="41" spans="2:6" ht="13.5" thickBot="1">
      <c r="B41" s="96" t="s">
        <v>37</v>
      </c>
      <c r="C41" s="97" t="s">
        <v>38</v>
      </c>
      <c r="D41" s="289">
        <v>68222.47</v>
      </c>
      <c r="E41" s="145">
        <f>E26+E27+E40</f>
        <v>64122.43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349.65010000000001</v>
      </c>
      <c r="E47" s="300">
        <v>343.37200000000001</v>
      </c>
    </row>
    <row r="48" spans="2:6">
      <c r="B48" s="180" t="s">
        <v>6</v>
      </c>
      <c r="C48" s="181" t="s">
        <v>41</v>
      </c>
      <c r="D48" s="299">
        <v>496.52449999999999</v>
      </c>
      <c r="E48" s="146">
        <v>339.55959999999999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103.61</v>
      </c>
      <c r="E50" s="72">
        <v>159.37</v>
      </c>
    </row>
    <row r="51" spans="2:5">
      <c r="B51" s="178" t="s">
        <v>6</v>
      </c>
      <c r="C51" s="179" t="s">
        <v>114</v>
      </c>
      <c r="D51" s="299">
        <v>80.63</v>
      </c>
      <c r="E51" s="72">
        <v>159.37</v>
      </c>
    </row>
    <row r="52" spans="2:5">
      <c r="B52" s="178" t="s">
        <v>8</v>
      </c>
      <c r="C52" s="179" t="s">
        <v>115</v>
      </c>
      <c r="D52" s="299">
        <v>143.6</v>
      </c>
      <c r="E52" s="72">
        <v>191.4</v>
      </c>
    </row>
    <row r="53" spans="2:5" ht="13.5" customHeight="1" thickBot="1">
      <c r="B53" s="182" t="s">
        <v>9</v>
      </c>
      <c r="C53" s="183" t="s">
        <v>41</v>
      </c>
      <c r="D53" s="297">
        <v>137.4</v>
      </c>
      <c r="E53" s="246">
        <v>188.84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64122.43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64122.43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64122.43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64122.43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259</v>
      </c>
      <c r="C6" s="354"/>
      <c r="D6" s="354"/>
      <c r="E6" s="354"/>
    </row>
    <row r="7" spans="2:5" ht="14.25">
      <c r="B7" s="202"/>
      <c r="C7" s="202"/>
      <c r="D7" s="202"/>
      <c r="E7" s="202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203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13976.89</v>
      </c>
      <c r="E11" s="211">
        <f>SUM(E12:E14)</f>
        <v>13718.85</v>
      </c>
    </row>
    <row r="12" spans="2:5">
      <c r="B12" s="167" t="s">
        <v>4</v>
      </c>
      <c r="C12" s="168" t="s">
        <v>5</v>
      </c>
      <c r="D12" s="271">
        <v>13976.89</v>
      </c>
      <c r="E12" s="216">
        <v>13718.85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13976.89</v>
      </c>
      <c r="E21" s="145">
        <f>E11-E17</f>
        <v>13718.85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203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10163.299999999999</v>
      </c>
      <c r="E26" s="206">
        <f>D21</f>
        <v>13976.89</v>
      </c>
    </row>
    <row r="27" spans="2:6">
      <c r="B27" s="9" t="s">
        <v>17</v>
      </c>
      <c r="C27" s="10" t="s">
        <v>111</v>
      </c>
      <c r="D27" s="285">
        <v>-121.23</v>
      </c>
      <c r="E27" s="240">
        <v>-111.42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121.23</v>
      </c>
      <c r="E32" s="241">
        <v>111.42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25</v>
      </c>
      <c r="E35" s="242">
        <v>16.260000000000002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96.23</v>
      </c>
      <c r="E37" s="242">
        <v>95.16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1365.28</v>
      </c>
      <c r="E40" s="245">
        <v>-146.62</v>
      </c>
    </row>
    <row r="41" spans="2:6" ht="13.5" thickBot="1">
      <c r="B41" s="96" t="s">
        <v>37</v>
      </c>
      <c r="C41" s="97" t="s">
        <v>38</v>
      </c>
      <c r="D41" s="289">
        <v>11407.35</v>
      </c>
      <c r="E41" s="145">
        <f>E26+E27+E40</f>
        <v>13718.849999999999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20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51.1541</v>
      </c>
      <c r="E47" s="300">
        <v>50.179099999999998</v>
      </c>
    </row>
    <row r="48" spans="2:6">
      <c r="B48" s="180" t="s">
        <v>6</v>
      </c>
      <c r="C48" s="181" t="s">
        <v>41</v>
      </c>
      <c r="D48" s="299">
        <v>50.607100000000003</v>
      </c>
      <c r="E48" s="146">
        <v>49.767299999999999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198.68</v>
      </c>
      <c r="E50" s="72">
        <v>278.54000000000002</v>
      </c>
    </row>
    <row r="51" spans="2:5">
      <c r="B51" s="178" t="s">
        <v>6</v>
      </c>
      <c r="C51" s="179" t="s">
        <v>114</v>
      </c>
      <c r="D51" s="299">
        <v>152.01</v>
      </c>
      <c r="E51" s="72">
        <v>242.41</v>
      </c>
    </row>
    <row r="52" spans="2:5">
      <c r="B52" s="178" t="s">
        <v>8</v>
      </c>
      <c r="C52" s="179" t="s">
        <v>115</v>
      </c>
      <c r="D52" s="299">
        <v>229.38</v>
      </c>
      <c r="E52" s="72">
        <v>310.81</v>
      </c>
    </row>
    <row r="53" spans="2:5" ht="13.5" customHeight="1" thickBot="1">
      <c r="B53" s="182" t="s">
        <v>9</v>
      </c>
      <c r="C53" s="183" t="s">
        <v>41</v>
      </c>
      <c r="D53" s="297">
        <v>225.41</v>
      </c>
      <c r="E53" s="246">
        <v>275.66000000000003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13718.85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13718.85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13718.85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13718.85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2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1"/>
      <c r="C4" s="141"/>
      <c r="D4" s="141"/>
      <c r="E4" s="14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227</v>
      </c>
      <c r="C6" s="354"/>
      <c r="D6" s="354"/>
      <c r="E6" s="354"/>
    </row>
    <row r="7" spans="2:5" ht="14.25">
      <c r="B7" s="139"/>
      <c r="C7" s="139"/>
      <c r="D7" s="139"/>
      <c r="E7" s="139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267634.78999999998</v>
      </c>
      <c r="E11" s="211">
        <f>SUM(E12:E14)</f>
        <v>276855.5</v>
      </c>
    </row>
    <row r="12" spans="2:5">
      <c r="B12" s="167" t="s">
        <v>4</v>
      </c>
      <c r="C12" s="168" t="s">
        <v>5</v>
      </c>
      <c r="D12" s="271">
        <v>267634.78999999998</v>
      </c>
      <c r="E12" s="216">
        <v>276855.5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267634.78999999998</v>
      </c>
      <c r="E21" s="145">
        <f>E11-E17</f>
        <v>276855.5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265450.02</v>
      </c>
      <c r="E26" s="206">
        <f>D21</f>
        <v>267634.78999999998</v>
      </c>
    </row>
    <row r="27" spans="2:6">
      <c r="B27" s="9" t="s">
        <v>17</v>
      </c>
      <c r="C27" s="10" t="s">
        <v>111</v>
      </c>
      <c r="D27" s="285">
        <v>-112526.07999999999</v>
      </c>
      <c r="E27" s="240">
        <v>10530.75</v>
      </c>
      <c r="F27" s="70"/>
    </row>
    <row r="28" spans="2:6">
      <c r="B28" s="9" t="s">
        <v>18</v>
      </c>
      <c r="C28" s="10" t="s">
        <v>19</v>
      </c>
      <c r="D28" s="285">
        <v>227568.85</v>
      </c>
      <c r="E28" s="241">
        <v>51963.37</v>
      </c>
      <c r="F28" s="70"/>
    </row>
    <row r="29" spans="2:6">
      <c r="B29" s="175" t="s">
        <v>4</v>
      </c>
      <c r="C29" s="168" t="s">
        <v>20</v>
      </c>
      <c r="D29" s="286">
        <v>10000.01</v>
      </c>
      <c r="E29" s="242">
        <v>4799.97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217568.84</v>
      </c>
      <c r="E31" s="242">
        <v>47163.4</v>
      </c>
      <c r="F31" s="70"/>
    </row>
    <row r="32" spans="2:6">
      <c r="B32" s="89" t="s">
        <v>23</v>
      </c>
      <c r="C32" s="11" t="s">
        <v>24</v>
      </c>
      <c r="D32" s="285">
        <v>340094.93</v>
      </c>
      <c r="E32" s="241">
        <v>41432.619999999995</v>
      </c>
      <c r="F32" s="70"/>
    </row>
    <row r="33" spans="2:6">
      <c r="B33" s="175" t="s">
        <v>4</v>
      </c>
      <c r="C33" s="168" t="s">
        <v>25</v>
      </c>
      <c r="D33" s="286">
        <v>9993.35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187.78</v>
      </c>
      <c r="E35" s="242">
        <v>78.05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2091.66</v>
      </c>
      <c r="E37" s="242">
        <v>2343.15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327822.14</v>
      </c>
      <c r="E39" s="243">
        <v>39011.42</v>
      </c>
      <c r="F39" s="70"/>
    </row>
    <row r="40" spans="2:6" ht="13.5" thickBot="1">
      <c r="B40" s="94" t="s">
        <v>35</v>
      </c>
      <c r="C40" s="95" t="s">
        <v>36</v>
      </c>
      <c r="D40" s="288">
        <v>81852.28</v>
      </c>
      <c r="E40" s="245">
        <v>-1310.04</v>
      </c>
    </row>
    <row r="41" spans="2:6" ht="13.5" thickBot="1">
      <c r="B41" s="96" t="s">
        <v>37</v>
      </c>
      <c r="C41" s="97" t="s">
        <v>38</v>
      </c>
      <c r="D41" s="289">
        <v>234776.22000000003</v>
      </c>
      <c r="E41" s="145">
        <f>E26+E27+E40</f>
        <v>276855.5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2063.3503000000001</v>
      </c>
      <c r="E47" s="300">
        <v>936.47360000000003</v>
      </c>
    </row>
    <row r="48" spans="2:6">
      <c r="B48" s="180" t="s">
        <v>6</v>
      </c>
      <c r="C48" s="181" t="s">
        <v>41</v>
      </c>
      <c r="D48" s="299">
        <v>1201.0857000000001</v>
      </c>
      <c r="E48" s="146">
        <v>989.61789999999996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128.65</v>
      </c>
      <c r="E50" s="72">
        <v>285.79000000000002</v>
      </c>
    </row>
    <row r="51" spans="2:5">
      <c r="B51" s="178" t="s">
        <v>6</v>
      </c>
      <c r="C51" s="179" t="s">
        <v>114</v>
      </c>
      <c r="D51" s="299">
        <v>103.1</v>
      </c>
      <c r="E51" s="72">
        <v>215.48</v>
      </c>
    </row>
    <row r="52" spans="2:5">
      <c r="B52" s="178" t="s">
        <v>8</v>
      </c>
      <c r="C52" s="179" t="s">
        <v>115</v>
      </c>
      <c r="D52" s="299">
        <v>202.13</v>
      </c>
      <c r="E52" s="72">
        <v>320.31</v>
      </c>
    </row>
    <row r="53" spans="2:5" ht="12.75" customHeight="1" thickBot="1">
      <c r="B53" s="182" t="s">
        <v>9</v>
      </c>
      <c r="C53" s="183" t="s">
        <v>41</v>
      </c>
      <c r="D53" s="297">
        <v>195.47</v>
      </c>
      <c r="E53" s="246">
        <v>279.76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276855.5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276855.5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276855.5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276855.5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5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14.25">
      <c r="B5" s="353" t="s">
        <v>1</v>
      </c>
      <c r="C5" s="353"/>
      <c r="D5" s="353"/>
      <c r="E5" s="353"/>
    </row>
    <row r="6" spans="2:5" ht="14.25">
      <c r="B6" s="354" t="s">
        <v>228</v>
      </c>
      <c r="C6" s="354"/>
      <c r="D6" s="354"/>
      <c r="E6" s="354"/>
    </row>
    <row r="7" spans="2:5" ht="14.25">
      <c r="B7" s="158"/>
      <c r="C7" s="158"/>
      <c r="D7" s="158"/>
      <c r="E7" s="158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59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16395.84</v>
      </c>
      <c r="E11" s="211">
        <f>SUM(E12:E14)</f>
        <v>16819.330000000002</v>
      </c>
    </row>
    <row r="12" spans="2:5">
      <c r="B12" s="167" t="s">
        <v>4</v>
      </c>
      <c r="C12" s="168" t="s">
        <v>5</v>
      </c>
      <c r="D12" s="271">
        <v>16395.84</v>
      </c>
      <c r="E12" s="216">
        <v>16819.330000000002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16395.84</v>
      </c>
      <c r="E21" s="145">
        <f>E11-E17</f>
        <v>16819.330000000002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11883.7</v>
      </c>
      <c r="E26" s="206">
        <f>D21</f>
        <v>16395.84</v>
      </c>
    </row>
    <row r="27" spans="2:6">
      <c r="B27" s="9" t="s">
        <v>17</v>
      </c>
      <c r="C27" s="10" t="s">
        <v>111</v>
      </c>
      <c r="D27" s="285">
        <v>-211.63</v>
      </c>
      <c r="E27" s="240">
        <v>-226.41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211.63</v>
      </c>
      <c r="E32" s="241">
        <v>226.41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41.65</v>
      </c>
      <c r="E35" s="242">
        <v>33.590000000000003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169.98</v>
      </c>
      <c r="E37" s="242">
        <v>192.82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403.07</v>
      </c>
      <c r="E40" s="245">
        <v>649.9</v>
      </c>
    </row>
    <row r="41" spans="2:6" ht="13.5" thickBot="1">
      <c r="B41" s="96" t="s">
        <v>37</v>
      </c>
      <c r="C41" s="97" t="s">
        <v>38</v>
      </c>
      <c r="D41" s="289">
        <v>12075.140000000001</v>
      </c>
      <c r="E41" s="145">
        <f>E26+E27+E40</f>
        <v>16819.330000000002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58.167900000000003</v>
      </c>
      <c r="E47" s="300">
        <v>56.7605</v>
      </c>
    </row>
    <row r="48" spans="2:6">
      <c r="B48" s="180" t="s">
        <v>6</v>
      </c>
      <c r="C48" s="181" t="s">
        <v>41</v>
      </c>
      <c r="D48" s="299">
        <v>57.146900000000002</v>
      </c>
      <c r="E48" s="146">
        <v>56.010300000000001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204.3</v>
      </c>
      <c r="E50" s="72">
        <v>288.86</v>
      </c>
    </row>
    <row r="51" spans="2:5">
      <c r="B51" s="178" t="s">
        <v>6</v>
      </c>
      <c r="C51" s="179" t="s">
        <v>114</v>
      </c>
      <c r="D51" s="299">
        <v>145.32</v>
      </c>
      <c r="E51" s="72">
        <v>263.07</v>
      </c>
    </row>
    <row r="52" spans="2:5">
      <c r="B52" s="178" t="s">
        <v>8</v>
      </c>
      <c r="C52" s="179" t="s">
        <v>115</v>
      </c>
      <c r="D52" s="299">
        <v>216.45</v>
      </c>
      <c r="E52" s="72">
        <v>316.69</v>
      </c>
    </row>
    <row r="53" spans="2:5" ht="13.5" thickBot="1">
      <c r="B53" s="182" t="s">
        <v>9</v>
      </c>
      <c r="C53" s="183" t="s">
        <v>41</v>
      </c>
      <c r="D53" s="297">
        <v>211.3</v>
      </c>
      <c r="E53" s="246">
        <v>300.29000000000002</v>
      </c>
    </row>
    <row r="54" spans="2:5">
      <c r="B54" s="106"/>
      <c r="C54" s="107"/>
      <c r="D54" s="108"/>
      <c r="E54" s="193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16819.330000000002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16819.330000000002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16819.330000000002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16819.330000000002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7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1"/>
      <c r="C4" s="141"/>
      <c r="D4" s="141"/>
      <c r="E4" s="14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229</v>
      </c>
      <c r="C6" s="354"/>
      <c r="D6" s="354"/>
      <c r="E6" s="354"/>
    </row>
    <row r="7" spans="2:5" ht="14.25">
      <c r="B7" s="139"/>
      <c r="C7" s="139"/>
      <c r="D7" s="139"/>
      <c r="E7" s="139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4296499.2699999996</v>
      </c>
      <c r="E11" s="211">
        <f>SUM(E12:E14)</f>
        <v>2740490.48</v>
      </c>
    </row>
    <row r="12" spans="2:5">
      <c r="B12" s="167" t="s">
        <v>4</v>
      </c>
      <c r="C12" s="168" t="s">
        <v>5</v>
      </c>
      <c r="D12" s="271">
        <v>4296499.2699999996</v>
      </c>
      <c r="E12" s="216">
        <v>2740490.48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4296499.2699999996</v>
      </c>
      <c r="E21" s="145">
        <f>E11-E17</f>
        <v>2740490.48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4938164.21</v>
      </c>
      <c r="E26" s="206">
        <f>D21</f>
        <v>4296499.2699999996</v>
      </c>
    </row>
    <row r="27" spans="2:6">
      <c r="B27" s="9" t="s">
        <v>17</v>
      </c>
      <c r="C27" s="10" t="s">
        <v>111</v>
      </c>
      <c r="D27" s="285">
        <v>-311375.19999999995</v>
      </c>
      <c r="E27" s="240">
        <v>-1428054.06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311375.19999999995</v>
      </c>
      <c r="E32" s="241">
        <v>1428054.06</v>
      </c>
      <c r="F32" s="70"/>
    </row>
    <row r="33" spans="2:6">
      <c r="B33" s="175" t="s">
        <v>4</v>
      </c>
      <c r="C33" s="168" t="s">
        <v>25</v>
      </c>
      <c r="D33" s="286">
        <v>270001.28999999998</v>
      </c>
      <c r="E33" s="242">
        <v>1393232.44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3768.73</v>
      </c>
      <c r="E35" s="242">
        <v>5761.3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37605.18</v>
      </c>
      <c r="E37" s="242">
        <v>29060.32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-258904.59</v>
      </c>
      <c r="E40" s="245">
        <v>-127954.73</v>
      </c>
    </row>
    <row r="41" spans="2:6" ht="13.5" thickBot="1">
      <c r="B41" s="96" t="s">
        <v>37</v>
      </c>
      <c r="C41" s="97" t="s">
        <v>38</v>
      </c>
      <c r="D41" s="289">
        <v>4367884.42</v>
      </c>
      <c r="E41" s="145">
        <f>E26+E27+E40</f>
        <v>2740490.4799999995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348986.87</v>
      </c>
      <c r="E47" s="300">
        <v>319204.99800000002</v>
      </c>
    </row>
    <row r="48" spans="2:6">
      <c r="B48" s="180" t="s">
        <v>6</v>
      </c>
      <c r="C48" s="181" t="s">
        <v>41</v>
      </c>
      <c r="D48" s="299">
        <v>325961.52399999998</v>
      </c>
      <c r="E48" s="146">
        <v>210483.14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14.15</v>
      </c>
      <c r="E50" s="72">
        <v>13.46</v>
      </c>
    </row>
    <row r="51" spans="2:5">
      <c r="B51" s="178" t="s">
        <v>6</v>
      </c>
      <c r="C51" s="179" t="s">
        <v>114</v>
      </c>
      <c r="D51" s="299">
        <v>13.2</v>
      </c>
      <c r="E51" s="72">
        <v>12.97</v>
      </c>
    </row>
    <row r="52" spans="2:5">
      <c r="B52" s="178" t="s">
        <v>8</v>
      </c>
      <c r="C52" s="179" t="s">
        <v>115</v>
      </c>
      <c r="D52" s="299">
        <v>14.15</v>
      </c>
      <c r="E52" s="72">
        <v>13.49</v>
      </c>
    </row>
    <row r="53" spans="2:5" ht="14.25" customHeight="1" thickBot="1">
      <c r="B53" s="182" t="s">
        <v>9</v>
      </c>
      <c r="C53" s="183" t="s">
        <v>41</v>
      </c>
      <c r="D53" s="297">
        <v>13.4</v>
      </c>
      <c r="E53" s="246">
        <v>13.02</v>
      </c>
    </row>
    <row r="54" spans="2:5">
      <c r="B54" s="184"/>
      <c r="C54" s="185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2740490.48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2740490.48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2740490.48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2740490.48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L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140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14501177.540000001</v>
      </c>
      <c r="E11" s="211">
        <f>SUM(E12:E14)</f>
        <v>15530891.68</v>
      </c>
    </row>
    <row r="12" spans="2:7">
      <c r="B12" s="103" t="s">
        <v>4</v>
      </c>
      <c r="C12" s="188" t="s">
        <v>5</v>
      </c>
      <c r="D12" s="271">
        <f>13664842.81+832129.51-4964.16</f>
        <v>14492008.16</v>
      </c>
      <c r="E12" s="216">
        <f>15191847.79+330775.88-1184.61</f>
        <v>15521439.060000001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>
        <f>D15</f>
        <v>9169.3799999999992</v>
      </c>
      <c r="E14" s="217">
        <f>E15</f>
        <v>9452.6200000000008</v>
      </c>
    </row>
    <row r="15" spans="2:7">
      <c r="B15" s="103" t="s">
        <v>106</v>
      </c>
      <c r="C15" s="188" t="s">
        <v>11</v>
      </c>
      <c r="D15" s="272">
        <v>9169.3799999999992</v>
      </c>
      <c r="E15" s="217">
        <v>9452.6200000000008</v>
      </c>
    </row>
    <row r="16" spans="2:7">
      <c r="B16" s="104" t="s">
        <v>107</v>
      </c>
      <c r="C16" s="189" t="s">
        <v>12</v>
      </c>
      <c r="D16" s="273"/>
      <c r="E16" s="218"/>
    </row>
    <row r="17" spans="2:12">
      <c r="B17" s="9" t="s">
        <v>13</v>
      </c>
      <c r="C17" s="190" t="s">
        <v>65</v>
      </c>
      <c r="D17" s="274">
        <f>D18</f>
        <v>11644.29</v>
      </c>
      <c r="E17" s="219">
        <f>E18</f>
        <v>155926.9</v>
      </c>
    </row>
    <row r="18" spans="2:12">
      <c r="B18" s="103" t="s">
        <v>4</v>
      </c>
      <c r="C18" s="188" t="s">
        <v>11</v>
      </c>
      <c r="D18" s="273">
        <v>11644.29</v>
      </c>
      <c r="E18" s="218">
        <v>155926.9</v>
      </c>
    </row>
    <row r="19" spans="2:12" ht="15" customHeight="1">
      <c r="B19" s="103" t="s">
        <v>6</v>
      </c>
      <c r="C19" s="188" t="s">
        <v>108</v>
      </c>
      <c r="D19" s="272"/>
      <c r="E19" s="217"/>
    </row>
    <row r="20" spans="2:12" ht="13.5" thickBot="1">
      <c r="B20" s="105" t="s">
        <v>8</v>
      </c>
      <c r="C20" s="68" t="s">
        <v>14</v>
      </c>
      <c r="D20" s="275"/>
      <c r="E20" s="212"/>
    </row>
    <row r="21" spans="2:12" ht="13.5" thickBot="1">
      <c r="B21" s="362" t="s">
        <v>110</v>
      </c>
      <c r="C21" s="363"/>
      <c r="D21" s="276">
        <f>D11-D17</f>
        <v>14489533.250000002</v>
      </c>
      <c r="E21" s="145">
        <f>E11-E17</f>
        <v>15374964.779999999</v>
      </c>
      <c r="F21" s="74"/>
    </row>
    <row r="22" spans="2:12">
      <c r="B22" s="3"/>
      <c r="C22" s="7"/>
      <c r="D22" s="8"/>
      <c r="E22" s="250"/>
    </row>
    <row r="23" spans="2:12" ht="13.5">
      <c r="B23" s="356" t="s">
        <v>104</v>
      </c>
      <c r="C23" s="368"/>
      <c r="D23" s="368"/>
      <c r="E23" s="368"/>
    </row>
    <row r="24" spans="2:12" ht="15.75" customHeight="1" thickBot="1">
      <c r="B24" s="355" t="s">
        <v>105</v>
      </c>
      <c r="C24" s="369"/>
      <c r="D24" s="369"/>
      <c r="E24" s="369"/>
    </row>
    <row r="25" spans="2:12" ht="13.5" thickBot="1">
      <c r="B25" s="83"/>
      <c r="C25" s="5" t="s">
        <v>2</v>
      </c>
      <c r="D25" s="256" t="s">
        <v>262</v>
      </c>
      <c r="E25" s="223" t="s">
        <v>260</v>
      </c>
      <c r="L25" s="166"/>
    </row>
    <row r="26" spans="2:12">
      <c r="B26" s="92" t="s">
        <v>15</v>
      </c>
      <c r="C26" s="93" t="s">
        <v>16</v>
      </c>
      <c r="D26" s="284">
        <v>14858604.83</v>
      </c>
      <c r="E26" s="206">
        <f>D21</f>
        <v>14489533.250000002</v>
      </c>
    </row>
    <row r="27" spans="2:12">
      <c r="B27" s="9" t="s">
        <v>17</v>
      </c>
      <c r="C27" s="10" t="s">
        <v>111</v>
      </c>
      <c r="D27" s="285">
        <v>-1190309.54</v>
      </c>
      <c r="E27" s="240">
        <v>-938548.22</v>
      </c>
      <c r="F27" s="70"/>
    </row>
    <row r="28" spans="2:12">
      <c r="B28" s="9" t="s">
        <v>18</v>
      </c>
      <c r="C28" s="10" t="s">
        <v>19</v>
      </c>
      <c r="D28" s="285">
        <v>548622.61</v>
      </c>
      <c r="E28" s="241">
        <v>501151.54000000004</v>
      </c>
      <c r="F28" s="70"/>
    </row>
    <row r="29" spans="2:12">
      <c r="B29" s="101" t="s">
        <v>4</v>
      </c>
      <c r="C29" s="6" t="s">
        <v>20</v>
      </c>
      <c r="D29" s="286">
        <v>533735.32999999996</v>
      </c>
      <c r="E29" s="242">
        <v>469028.93000000005</v>
      </c>
      <c r="F29" s="70"/>
    </row>
    <row r="30" spans="2:12">
      <c r="B30" s="101" t="s">
        <v>6</v>
      </c>
      <c r="C30" s="6" t="s">
        <v>21</v>
      </c>
      <c r="D30" s="286"/>
      <c r="E30" s="242"/>
      <c r="F30" s="70"/>
    </row>
    <row r="31" spans="2:12">
      <c r="B31" s="101" t="s">
        <v>8</v>
      </c>
      <c r="C31" s="6" t="s">
        <v>22</v>
      </c>
      <c r="D31" s="286">
        <v>14887.279999999999</v>
      </c>
      <c r="E31" s="242">
        <v>32122.61</v>
      </c>
      <c r="F31" s="70"/>
    </row>
    <row r="32" spans="2:12">
      <c r="B32" s="89" t="s">
        <v>23</v>
      </c>
      <c r="C32" s="11" t="s">
        <v>24</v>
      </c>
      <c r="D32" s="285">
        <v>1738932.1500000001</v>
      </c>
      <c r="E32" s="241">
        <v>1439699.76</v>
      </c>
      <c r="F32" s="70"/>
    </row>
    <row r="33" spans="2:6">
      <c r="B33" s="101" t="s">
        <v>4</v>
      </c>
      <c r="C33" s="6" t="s">
        <v>25</v>
      </c>
      <c r="D33" s="286">
        <v>1466434.95</v>
      </c>
      <c r="E33" s="242">
        <v>1238067.29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56251.81</v>
      </c>
      <c r="E35" s="242">
        <v>34942.75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103369.84</v>
      </c>
      <c r="E37" s="242">
        <v>108901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112875.55</v>
      </c>
      <c r="E39" s="243">
        <v>57788.72</v>
      </c>
      <c r="F39" s="70"/>
    </row>
    <row r="40" spans="2:6" ht="13.5" thickBot="1">
      <c r="B40" s="94" t="s">
        <v>35</v>
      </c>
      <c r="C40" s="95" t="s">
        <v>36</v>
      </c>
      <c r="D40" s="288">
        <v>21190.6</v>
      </c>
      <c r="E40" s="245">
        <v>1823979.75</v>
      </c>
    </row>
    <row r="41" spans="2:6" ht="13.5" thickBot="1">
      <c r="B41" s="96" t="s">
        <v>37</v>
      </c>
      <c r="C41" s="97" t="s">
        <v>38</v>
      </c>
      <c r="D41" s="289">
        <v>13689485.889999999</v>
      </c>
      <c r="E41" s="145">
        <f>E26+E27+E40</f>
        <v>15374964.780000001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0">
        <v>101447.1568</v>
      </c>
      <c r="E47" s="300">
        <v>84816.569900000002</v>
      </c>
    </row>
    <row r="48" spans="2:6">
      <c r="B48" s="180" t="s">
        <v>6</v>
      </c>
      <c r="C48" s="181" t="s">
        <v>41</v>
      </c>
      <c r="D48" s="290">
        <v>93098.687600000005</v>
      </c>
      <c r="E48" s="310">
        <v>79627.985700000005</v>
      </c>
    </row>
    <row r="49" spans="2:5">
      <c r="B49" s="117" t="s">
        <v>23</v>
      </c>
      <c r="C49" s="121" t="s">
        <v>113</v>
      </c>
      <c r="D49" s="317"/>
      <c r="E49" s="122"/>
    </row>
    <row r="50" spans="2:5">
      <c r="B50" s="178" t="s">
        <v>4</v>
      </c>
      <c r="C50" s="179" t="s">
        <v>40</v>
      </c>
      <c r="D50" s="290">
        <v>146.46639999999999</v>
      </c>
      <c r="E50" s="300">
        <v>170.8338</v>
      </c>
    </row>
    <row r="51" spans="2:5">
      <c r="B51" s="178" t="s">
        <v>6</v>
      </c>
      <c r="C51" s="179" t="s">
        <v>114</v>
      </c>
      <c r="D51" s="290">
        <v>120.7756</v>
      </c>
      <c r="E51" s="300">
        <v>170.8338</v>
      </c>
    </row>
    <row r="52" spans="2:5" ht="12.75" customHeight="1">
      <c r="B52" s="178" t="s">
        <v>8</v>
      </c>
      <c r="C52" s="179" t="s">
        <v>115</v>
      </c>
      <c r="D52" s="290">
        <v>150.22800000000001</v>
      </c>
      <c r="E52" s="300">
        <v>194.12459999999999</v>
      </c>
    </row>
    <row r="53" spans="2:5" ht="13.5" thickBot="1">
      <c r="B53" s="182" t="s">
        <v>9</v>
      </c>
      <c r="C53" s="183" t="s">
        <v>41</v>
      </c>
      <c r="D53" s="297">
        <v>147.0427</v>
      </c>
      <c r="E53" s="246">
        <v>193.0849</v>
      </c>
    </row>
    <row r="54" spans="2:5">
      <c r="B54" s="184"/>
      <c r="C54" s="185"/>
      <c r="D54" s="108"/>
      <c r="E54" s="108"/>
    </row>
    <row r="55" spans="2:5" ht="13.5">
      <c r="B55" s="357" t="s">
        <v>62</v>
      </c>
      <c r="C55" s="366"/>
      <c r="D55" s="366"/>
      <c r="E55" s="366"/>
    </row>
    <row r="56" spans="2:5" ht="17.25" customHeight="1" thickBot="1">
      <c r="B56" s="355" t="s">
        <v>116</v>
      </c>
      <c r="C56" s="367"/>
      <c r="D56" s="367"/>
      <c r="E56" s="367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D64+D69</f>
        <v>15521439.060000001</v>
      </c>
      <c r="E58" s="31">
        <f>D58/E21</f>
        <v>1.0095268042623771</v>
      </c>
    </row>
    <row r="59" spans="2:5" ht="25.5">
      <c r="B59" s="311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312" t="s">
        <v>6</v>
      </c>
      <c r="C60" s="179" t="s">
        <v>45</v>
      </c>
      <c r="D60" s="75">
        <v>0</v>
      </c>
      <c r="E60" s="76">
        <v>0</v>
      </c>
    </row>
    <row r="61" spans="2:5">
      <c r="B61" s="312" t="s">
        <v>8</v>
      </c>
      <c r="C61" s="179" t="s">
        <v>46</v>
      </c>
      <c r="D61" s="75">
        <v>0</v>
      </c>
      <c r="E61" s="76">
        <v>0</v>
      </c>
    </row>
    <row r="62" spans="2:5">
      <c r="B62" s="312" t="s">
        <v>9</v>
      </c>
      <c r="C62" s="179" t="s">
        <v>47</v>
      </c>
      <c r="D62" s="75">
        <v>0</v>
      </c>
      <c r="E62" s="76">
        <v>0</v>
      </c>
    </row>
    <row r="63" spans="2:5">
      <c r="B63" s="312" t="s">
        <v>29</v>
      </c>
      <c r="C63" s="179" t="s">
        <v>48</v>
      </c>
      <c r="D63" s="75">
        <v>0</v>
      </c>
      <c r="E63" s="76">
        <v>0</v>
      </c>
    </row>
    <row r="64" spans="2:5">
      <c r="B64" s="311" t="s">
        <v>31</v>
      </c>
      <c r="C64" s="181" t="s">
        <v>49</v>
      </c>
      <c r="D64" s="306">
        <f>15191847.79-1184.61</f>
        <v>15190663.18</v>
      </c>
      <c r="E64" s="78">
        <f>D64/E21</f>
        <v>0.98801287660575698</v>
      </c>
    </row>
    <row r="65" spans="2:5">
      <c r="B65" s="311" t="s">
        <v>33</v>
      </c>
      <c r="C65" s="181" t="s">
        <v>118</v>
      </c>
      <c r="D65" s="77">
        <v>0</v>
      </c>
      <c r="E65" s="78">
        <v>0</v>
      </c>
    </row>
    <row r="66" spans="2:5">
      <c r="B66" s="311" t="s">
        <v>50</v>
      </c>
      <c r="C66" s="181" t="s">
        <v>51</v>
      </c>
      <c r="D66" s="77">
        <v>0</v>
      </c>
      <c r="E66" s="78">
        <v>0</v>
      </c>
    </row>
    <row r="67" spans="2:5">
      <c r="B67" s="312" t="s">
        <v>52</v>
      </c>
      <c r="C67" s="179" t="s">
        <v>53</v>
      </c>
      <c r="D67" s="75">
        <v>0</v>
      </c>
      <c r="E67" s="76">
        <v>0</v>
      </c>
    </row>
    <row r="68" spans="2:5">
      <c r="B68" s="312" t="s">
        <v>54</v>
      </c>
      <c r="C68" s="179" t="s">
        <v>55</v>
      </c>
      <c r="D68" s="75">
        <v>0</v>
      </c>
      <c r="E68" s="76">
        <v>0</v>
      </c>
    </row>
    <row r="69" spans="2:5">
      <c r="B69" s="312" t="s">
        <v>56</v>
      </c>
      <c r="C69" s="179" t="s">
        <v>57</v>
      </c>
      <c r="D69" s="298">
        <v>330775.88</v>
      </c>
      <c r="E69" s="76">
        <f>D69/E21</f>
        <v>2.1513927656619972E-2</v>
      </c>
    </row>
    <row r="70" spans="2:5">
      <c r="B70" s="313" t="s">
        <v>58</v>
      </c>
      <c r="C70" s="207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9452.6200000000008</v>
      </c>
      <c r="E72" s="116">
        <f>D72/E21</f>
        <v>6.1480596120103766E-4</v>
      </c>
    </row>
    <row r="73" spans="2:5">
      <c r="B73" s="23" t="s">
        <v>62</v>
      </c>
      <c r="C73" s="24" t="s">
        <v>65</v>
      </c>
      <c r="D73" s="25">
        <f>E17</f>
        <v>155926.9</v>
      </c>
      <c r="E73" s="26">
        <f>D73/E21</f>
        <v>1.0141610223578021E-2</v>
      </c>
    </row>
    <row r="74" spans="2:5">
      <c r="B74" s="117" t="s">
        <v>64</v>
      </c>
      <c r="C74" s="118" t="s">
        <v>66</v>
      </c>
      <c r="D74" s="119">
        <f>D58+D71+D72-D73</f>
        <v>15374964.779999999</v>
      </c>
      <c r="E74" s="65">
        <f>E58+E72-E73</f>
        <v>1</v>
      </c>
    </row>
    <row r="75" spans="2:5">
      <c r="B75" s="312" t="s">
        <v>4</v>
      </c>
      <c r="C75" s="179" t="s">
        <v>67</v>
      </c>
      <c r="D75" s="75">
        <f>D74</f>
        <v>15374964.779999999</v>
      </c>
      <c r="E75" s="76">
        <f>E74</f>
        <v>1</v>
      </c>
    </row>
    <row r="76" spans="2:5">
      <c r="B76" s="312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314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01"/>
      <c r="E78" s="201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8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1"/>
      <c r="C4" s="141"/>
      <c r="D4" s="141"/>
      <c r="E4" s="14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230</v>
      </c>
      <c r="C6" s="354"/>
      <c r="D6" s="354"/>
      <c r="E6" s="354"/>
    </row>
    <row r="7" spans="2:5" ht="14.25">
      <c r="B7" s="139"/>
      <c r="C7" s="139"/>
      <c r="D7" s="139"/>
      <c r="E7" s="139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6421943.7999999998</v>
      </c>
      <c r="E11" s="211">
        <f>SUM(E12:E14)</f>
        <v>6254490.7300000004</v>
      </c>
    </row>
    <row r="12" spans="2:5">
      <c r="B12" s="167" t="s">
        <v>4</v>
      </c>
      <c r="C12" s="168" t="s">
        <v>5</v>
      </c>
      <c r="D12" s="271">
        <v>6421943.7999999998</v>
      </c>
      <c r="E12" s="216">
        <v>6254490.7300000004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6421943.7999999998</v>
      </c>
      <c r="E21" s="145">
        <f>E11-E17</f>
        <v>6254490.7300000004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7703014.2799999993</v>
      </c>
      <c r="E26" s="206">
        <f>D21</f>
        <v>6421943.7999999998</v>
      </c>
    </row>
    <row r="27" spans="2:6">
      <c r="B27" s="9" t="s">
        <v>17</v>
      </c>
      <c r="C27" s="10" t="s">
        <v>111</v>
      </c>
      <c r="D27" s="285">
        <v>-684204.85</v>
      </c>
      <c r="E27" s="240">
        <v>-65765.64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684204.85</v>
      </c>
      <c r="E32" s="241">
        <v>65765.64</v>
      </c>
      <c r="F32" s="70"/>
    </row>
    <row r="33" spans="2:6">
      <c r="B33" s="175" t="s">
        <v>4</v>
      </c>
      <c r="C33" s="168" t="s">
        <v>25</v>
      </c>
      <c r="D33" s="286">
        <v>82390.01999999999</v>
      </c>
      <c r="E33" s="242">
        <v>4269.3500000000004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12576.68</v>
      </c>
      <c r="E35" s="242">
        <v>11150.21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55773.49</v>
      </c>
      <c r="E37" s="242">
        <v>50346.080000000002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533464.66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-515743.61</v>
      </c>
      <c r="E40" s="245">
        <v>-101687.43</v>
      </c>
    </row>
    <row r="41" spans="2:6" ht="13.5" thickBot="1">
      <c r="B41" s="96" t="s">
        <v>37</v>
      </c>
      <c r="C41" s="97" t="s">
        <v>38</v>
      </c>
      <c r="D41" s="289">
        <v>6503065.8199999994</v>
      </c>
      <c r="E41" s="145">
        <f>E26+E27+E40</f>
        <v>6254490.7300000004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0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87923.916000000012</v>
      </c>
      <c r="E47" s="300">
        <v>79058.769</v>
      </c>
    </row>
    <row r="48" spans="2:6">
      <c r="B48" s="120" t="s">
        <v>6</v>
      </c>
      <c r="C48" s="22" t="s">
        <v>41</v>
      </c>
      <c r="D48" s="299">
        <v>79978.672000000006</v>
      </c>
      <c r="E48" s="146">
        <v>78239.813999999998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87.61</v>
      </c>
      <c r="E50" s="72">
        <v>81.23</v>
      </c>
    </row>
    <row r="51" spans="2:5">
      <c r="B51" s="99" t="s">
        <v>6</v>
      </c>
      <c r="C51" s="15" t="s">
        <v>114</v>
      </c>
      <c r="D51" s="299">
        <v>79.59</v>
      </c>
      <c r="E51" s="72">
        <v>78.69</v>
      </c>
    </row>
    <row r="52" spans="2:5">
      <c r="B52" s="99" t="s">
        <v>8</v>
      </c>
      <c r="C52" s="15" t="s">
        <v>115</v>
      </c>
      <c r="D52" s="299">
        <v>87.61</v>
      </c>
      <c r="E52" s="72">
        <v>81.67</v>
      </c>
    </row>
    <row r="53" spans="2:5" ht="14.25" customHeight="1" thickBot="1">
      <c r="B53" s="100" t="s">
        <v>9</v>
      </c>
      <c r="C53" s="17" t="s">
        <v>41</v>
      </c>
      <c r="D53" s="297">
        <v>81.31</v>
      </c>
      <c r="E53" s="246">
        <v>79.94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6254490.7300000004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6254490.7300000004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6254490.7300000004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6254490.7300000004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9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1"/>
      <c r="C4" s="141"/>
      <c r="D4" s="141"/>
      <c r="E4" s="14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264</v>
      </c>
      <c r="C6" s="354"/>
      <c r="D6" s="354"/>
      <c r="E6" s="354"/>
    </row>
    <row r="7" spans="2:5" ht="14.25">
      <c r="B7" s="139"/>
      <c r="C7" s="139"/>
      <c r="D7" s="139"/>
      <c r="E7" s="139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29070.05</v>
      </c>
      <c r="E11" s="211">
        <f>SUM(E12:E14)</f>
        <v>20415.259999999998</v>
      </c>
    </row>
    <row r="12" spans="2:5">
      <c r="B12" s="167" t="s">
        <v>4</v>
      </c>
      <c r="C12" s="168" t="s">
        <v>5</v>
      </c>
      <c r="D12" s="271">
        <v>29070.05</v>
      </c>
      <c r="E12" s="216">
        <v>20415.259999999998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29070.05</v>
      </c>
      <c r="E21" s="145">
        <f>E11-E17</f>
        <v>20415.259999999998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32036.97</v>
      </c>
      <c r="E26" s="206">
        <f>D21</f>
        <v>29070.05</v>
      </c>
    </row>
    <row r="27" spans="2:6">
      <c r="B27" s="9" t="s">
        <v>17</v>
      </c>
      <c r="C27" s="10" t="s">
        <v>111</v>
      </c>
      <c r="D27" s="285">
        <v>1418.01</v>
      </c>
      <c r="E27" s="240">
        <v>-10058.609999999999</v>
      </c>
      <c r="F27" s="70"/>
    </row>
    <row r="28" spans="2:6">
      <c r="B28" s="9" t="s">
        <v>18</v>
      </c>
      <c r="C28" s="10" t="s">
        <v>19</v>
      </c>
      <c r="D28" s="285">
        <v>2461.52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2461.52</v>
      </c>
      <c r="E31" s="242"/>
      <c r="F31" s="70"/>
    </row>
    <row r="32" spans="2:6">
      <c r="B32" s="89" t="s">
        <v>23</v>
      </c>
      <c r="C32" s="11" t="s">
        <v>24</v>
      </c>
      <c r="D32" s="285">
        <v>1043.51</v>
      </c>
      <c r="E32" s="241">
        <v>10058.609999999999</v>
      </c>
      <c r="F32" s="70"/>
    </row>
    <row r="33" spans="2:6">
      <c r="B33" s="175" t="s">
        <v>4</v>
      </c>
      <c r="C33" s="168" t="s">
        <v>25</v>
      </c>
      <c r="D33" s="286">
        <v>967.39</v>
      </c>
      <c r="E33" s="242">
        <v>9692.0499999999993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6.37</v>
      </c>
      <c r="E35" s="242">
        <v>32.33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69.75</v>
      </c>
      <c r="E37" s="242">
        <v>334.23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-10355.41</v>
      </c>
      <c r="E40" s="245">
        <v>1403.82</v>
      </c>
    </row>
    <row r="41" spans="2:6" ht="13.5" thickBot="1">
      <c r="B41" s="96" t="s">
        <v>37</v>
      </c>
      <c r="C41" s="97" t="s">
        <v>38</v>
      </c>
      <c r="D41" s="289">
        <v>23099.570000000003</v>
      </c>
      <c r="E41" s="145">
        <f>E26+E27+E40</f>
        <v>20415.260000000002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3800.3519999999999</v>
      </c>
      <c r="E47" s="300">
        <v>4117.5709999999999</v>
      </c>
    </row>
    <row r="48" spans="2:6">
      <c r="B48" s="180" t="s">
        <v>6</v>
      </c>
      <c r="C48" s="181" t="s">
        <v>41</v>
      </c>
      <c r="D48" s="299">
        <v>4117.5709999999999</v>
      </c>
      <c r="E48" s="146">
        <v>2696.864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8.43</v>
      </c>
      <c r="E50" s="72">
        <v>7.06</v>
      </c>
    </row>
    <row r="51" spans="2:5">
      <c r="B51" s="178" t="s">
        <v>6</v>
      </c>
      <c r="C51" s="179" t="s">
        <v>114</v>
      </c>
      <c r="D51" s="299">
        <v>4.03</v>
      </c>
      <c r="E51" s="72">
        <v>6.15</v>
      </c>
    </row>
    <row r="52" spans="2:5">
      <c r="B52" s="178" t="s">
        <v>8</v>
      </c>
      <c r="C52" s="179" t="s">
        <v>115</v>
      </c>
      <c r="D52" s="299">
        <v>8.67</v>
      </c>
      <c r="E52" s="72">
        <v>7.76</v>
      </c>
    </row>
    <row r="53" spans="2:5" ht="14.25" customHeight="1" thickBot="1">
      <c r="B53" s="182" t="s">
        <v>9</v>
      </c>
      <c r="C53" s="183" t="s">
        <v>41</v>
      </c>
      <c r="D53" s="297">
        <v>5.61</v>
      </c>
      <c r="E53" s="246">
        <v>7.57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20415.259999999998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20415.259999999998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20415.259999999998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20415.259999999998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0"/>
  <dimension ref="A1:F81"/>
  <sheetViews>
    <sheetView zoomScale="80" zoomScaleNormal="80" workbookViewId="0">
      <selection activeCell="G1" sqref="G1:M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1"/>
      <c r="C4" s="141"/>
      <c r="D4" s="141"/>
      <c r="E4" s="14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265</v>
      </c>
      <c r="C6" s="354"/>
      <c r="D6" s="354"/>
      <c r="E6" s="354"/>
    </row>
    <row r="7" spans="2:5" ht="14.25">
      <c r="B7" s="139"/>
      <c r="C7" s="139"/>
      <c r="D7" s="139"/>
      <c r="E7" s="139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156173.26</v>
      </c>
      <c r="E11" s="211">
        <f>SUM(E12:E14)</f>
        <v>171266.24</v>
      </c>
    </row>
    <row r="12" spans="2:5">
      <c r="B12" s="167" t="s">
        <v>4</v>
      </c>
      <c r="C12" s="168" t="s">
        <v>5</v>
      </c>
      <c r="D12" s="271">
        <v>156173.26</v>
      </c>
      <c r="E12" s="216">
        <v>171266.24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156173.26</v>
      </c>
      <c r="E21" s="145">
        <f>E11-E17</f>
        <v>171266.24</v>
      </c>
      <c r="F21" s="74"/>
    </row>
    <row r="22" spans="2:6">
      <c r="B22" s="3"/>
      <c r="C22" s="7"/>
      <c r="D22" s="8"/>
      <c r="E22" s="204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144046.09</v>
      </c>
      <c r="E26" s="206">
        <f>D21</f>
        <v>156173.26</v>
      </c>
    </row>
    <row r="27" spans="2:6">
      <c r="B27" s="9" t="s">
        <v>17</v>
      </c>
      <c r="C27" s="10" t="s">
        <v>111</v>
      </c>
      <c r="D27" s="285">
        <v>-2243.44</v>
      </c>
      <c r="E27" s="240">
        <v>-5782.01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2243.44</v>
      </c>
      <c r="E32" s="241">
        <v>5782.01</v>
      </c>
      <c r="F32" s="70"/>
    </row>
    <row r="33" spans="2:6">
      <c r="B33" s="175" t="s">
        <v>4</v>
      </c>
      <c r="C33" s="168" t="s">
        <v>25</v>
      </c>
      <c r="D33" s="286">
        <v>952.81</v>
      </c>
      <c r="E33" s="242">
        <v>4395.58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279.67</v>
      </c>
      <c r="E35" s="242">
        <v>250.72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1010.96</v>
      </c>
      <c r="E37" s="242">
        <v>1135.71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12847.79</v>
      </c>
      <c r="E40" s="245">
        <v>20874.990000000002</v>
      </c>
    </row>
    <row r="41" spans="2:6" ht="13.5" thickBot="1">
      <c r="B41" s="96" t="s">
        <v>37</v>
      </c>
      <c r="C41" s="97" t="s">
        <v>38</v>
      </c>
      <c r="D41" s="289">
        <v>154650.44</v>
      </c>
      <c r="E41" s="145">
        <f>E26+E27+E40</f>
        <v>171266.24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1050.971</v>
      </c>
      <c r="E47" s="300">
        <v>819.89319999999998</v>
      </c>
    </row>
    <row r="48" spans="2:6">
      <c r="B48" s="180" t="s">
        <v>6</v>
      </c>
      <c r="C48" s="181" t="s">
        <v>41</v>
      </c>
      <c r="D48" s="299">
        <v>1033.7596000000001</v>
      </c>
      <c r="E48" s="146">
        <v>790.81240000000003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137.06</v>
      </c>
      <c r="E50" s="72">
        <v>190.48</v>
      </c>
    </row>
    <row r="51" spans="2:5">
      <c r="B51" s="178" t="s">
        <v>6</v>
      </c>
      <c r="C51" s="179" t="s">
        <v>114</v>
      </c>
      <c r="D51" s="299">
        <v>105.8</v>
      </c>
      <c r="E51" s="72">
        <v>184.08</v>
      </c>
    </row>
    <row r="52" spans="2:5">
      <c r="B52" s="178" t="s">
        <v>8</v>
      </c>
      <c r="C52" s="179" t="s">
        <v>115</v>
      </c>
      <c r="D52" s="299">
        <v>151.91999999999999</v>
      </c>
      <c r="E52" s="72">
        <v>218.15</v>
      </c>
    </row>
    <row r="53" spans="2:5" ht="14.25" customHeight="1" thickBot="1">
      <c r="B53" s="182" t="s">
        <v>9</v>
      </c>
      <c r="C53" s="183" t="s">
        <v>41</v>
      </c>
      <c r="D53" s="297">
        <v>149.6</v>
      </c>
      <c r="E53" s="246">
        <v>216.57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171266.24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171266.24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171266.24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171266.24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1"/>
  <dimension ref="A1:F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1"/>
      <c r="C4" s="141"/>
      <c r="D4" s="141"/>
      <c r="E4" s="14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241</v>
      </c>
      <c r="C6" s="354"/>
      <c r="D6" s="354"/>
      <c r="E6" s="354"/>
    </row>
    <row r="7" spans="2:5" ht="14.25">
      <c r="B7" s="139"/>
      <c r="C7" s="139"/>
      <c r="D7" s="139"/>
      <c r="E7" s="139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126405.20000000001</v>
      </c>
      <c r="E11" s="211">
        <f>SUM(E12:E14)</f>
        <v>142006.57999999999</v>
      </c>
    </row>
    <row r="12" spans="2:5">
      <c r="B12" s="167" t="s">
        <v>4</v>
      </c>
      <c r="C12" s="168" t="s">
        <v>5</v>
      </c>
      <c r="D12" s="271">
        <v>126405.20000000001</v>
      </c>
      <c r="E12" s="216">
        <v>142006.57999999999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126405.20000000001</v>
      </c>
      <c r="E21" s="145">
        <f>E11-E17</f>
        <v>142006.57999999999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109444.67</v>
      </c>
      <c r="E26" s="206">
        <f>D21</f>
        <v>126405.20000000001</v>
      </c>
    </row>
    <row r="27" spans="2:6">
      <c r="B27" s="9" t="s">
        <v>17</v>
      </c>
      <c r="C27" s="10" t="s">
        <v>111</v>
      </c>
      <c r="D27" s="285">
        <v>3198.2400000000016</v>
      </c>
      <c r="E27" s="240">
        <v>-9407.2999999999993</v>
      </c>
      <c r="F27" s="70"/>
    </row>
    <row r="28" spans="2:6">
      <c r="B28" s="9" t="s">
        <v>18</v>
      </c>
      <c r="C28" s="10" t="s">
        <v>19</v>
      </c>
      <c r="D28" s="285">
        <v>32065.329999999998</v>
      </c>
      <c r="E28" s="241">
        <v>29725.93</v>
      </c>
      <c r="F28" s="70"/>
    </row>
    <row r="29" spans="2:6">
      <c r="B29" s="175" t="s">
        <v>4</v>
      </c>
      <c r="C29" s="168" t="s">
        <v>20</v>
      </c>
      <c r="D29" s="286">
        <v>4210.28</v>
      </c>
      <c r="E29" s="242">
        <v>3919.13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27855.05</v>
      </c>
      <c r="E31" s="242">
        <v>25806.799999999999</v>
      </c>
      <c r="F31" s="70"/>
    </row>
    <row r="32" spans="2:6">
      <c r="B32" s="89" t="s">
        <v>23</v>
      </c>
      <c r="C32" s="11" t="s">
        <v>24</v>
      </c>
      <c r="D32" s="285">
        <v>28867.089999999997</v>
      </c>
      <c r="E32" s="241">
        <v>39133.230000000003</v>
      </c>
      <c r="F32" s="70"/>
    </row>
    <row r="33" spans="2:6">
      <c r="B33" s="175" t="s">
        <v>4</v>
      </c>
      <c r="C33" s="168" t="s">
        <v>25</v>
      </c>
      <c r="D33" s="286">
        <v>5221.5</v>
      </c>
      <c r="E33" s="242">
        <v>30080.77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366.8</v>
      </c>
      <c r="E35" s="242">
        <v>273.89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735.37</v>
      </c>
      <c r="E37" s="242">
        <v>872.26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22543.42</v>
      </c>
      <c r="E39" s="243">
        <v>7906.31</v>
      </c>
      <c r="F39" s="70"/>
    </row>
    <row r="40" spans="2:6" ht="13.5" thickBot="1">
      <c r="B40" s="94" t="s">
        <v>35</v>
      </c>
      <c r="C40" s="95" t="s">
        <v>36</v>
      </c>
      <c r="D40" s="288">
        <v>8408.5</v>
      </c>
      <c r="E40" s="245">
        <v>25008.68</v>
      </c>
    </row>
    <row r="41" spans="2:6" ht="13.5" thickBot="1">
      <c r="B41" s="96" t="s">
        <v>37</v>
      </c>
      <c r="C41" s="97" t="s">
        <v>38</v>
      </c>
      <c r="D41" s="289">
        <v>121051.41</v>
      </c>
      <c r="E41" s="145">
        <f>E26+E27+E40</f>
        <v>142006.58000000002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0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1122.3943999999999</v>
      </c>
      <c r="E47" s="300">
        <v>1077.3476000000001</v>
      </c>
    </row>
    <row r="48" spans="2:6">
      <c r="B48" s="120" t="s">
        <v>6</v>
      </c>
      <c r="C48" s="22" t="s">
        <v>41</v>
      </c>
      <c r="D48" s="299">
        <v>1154.4097999999999</v>
      </c>
      <c r="E48" s="146">
        <v>1006.5678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97.51</v>
      </c>
      <c r="E50" s="72">
        <v>117.33</v>
      </c>
    </row>
    <row r="51" spans="2:5">
      <c r="B51" s="99" t="s">
        <v>6</v>
      </c>
      <c r="C51" s="15" t="s">
        <v>114</v>
      </c>
      <c r="D51" s="299">
        <v>69.819999999999993</v>
      </c>
      <c r="E51" s="72">
        <v>117.33</v>
      </c>
    </row>
    <row r="52" spans="2:5">
      <c r="B52" s="99" t="s">
        <v>8</v>
      </c>
      <c r="C52" s="15" t="s">
        <v>115</v>
      </c>
      <c r="D52" s="299">
        <v>107.41</v>
      </c>
      <c r="E52" s="72">
        <v>142.65</v>
      </c>
    </row>
    <row r="53" spans="2:5" ht="13.5" customHeight="1" thickBot="1">
      <c r="B53" s="100" t="s">
        <v>9</v>
      </c>
      <c r="C53" s="17" t="s">
        <v>41</v>
      </c>
      <c r="D53" s="297">
        <v>104.86</v>
      </c>
      <c r="E53" s="246">
        <v>141.08000000000001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142006.57999999999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142006.57999999999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D75</f>
        <v>142006.57999999999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D58-D73</f>
        <v>142006.57999999999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horizontalDpi="90" verticalDpi="90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2"/>
  <dimension ref="A1:G81"/>
  <sheetViews>
    <sheetView topLeftCell="A13" zoomScale="80" zoomScaleNormal="80" workbookViewId="0">
      <selection activeCell="G13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240</v>
      </c>
      <c r="C6" s="354"/>
      <c r="D6" s="354"/>
      <c r="E6" s="354"/>
    </row>
    <row r="7" spans="2:7" ht="14.25">
      <c r="B7" s="142"/>
      <c r="C7" s="142"/>
      <c r="D7" s="142"/>
      <c r="E7" s="142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33796.310000000005</v>
      </c>
      <c r="E11" s="211">
        <f>SUM(E12:E14)</f>
        <v>25360.48</v>
      </c>
    </row>
    <row r="12" spans="2:7">
      <c r="B12" s="167" t="s">
        <v>4</v>
      </c>
      <c r="C12" s="168" t="s">
        <v>5</v>
      </c>
      <c r="D12" s="271">
        <v>33796.310000000005</v>
      </c>
      <c r="E12" s="216">
        <v>25360.48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33796.310000000005</v>
      </c>
      <c r="E21" s="145">
        <f>E11-E17</f>
        <v>25360.48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32224.639999999999</v>
      </c>
      <c r="E26" s="206">
        <f>D21</f>
        <v>33796.310000000005</v>
      </c>
    </row>
    <row r="27" spans="2:6">
      <c r="B27" s="9" t="s">
        <v>17</v>
      </c>
      <c r="C27" s="10" t="s">
        <v>111</v>
      </c>
      <c r="D27" s="285">
        <v>433.52000000000021</v>
      </c>
      <c r="E27" s="240">
        <v>-10161.09</v>
      </c>
      <c r="F27" s="70"/>
    </row>
    <row r="28" spans="2:6">
      <c r="B28" s="9" t="s">
        <v>18</v>
      </c>
      <c r="C28" s="10" t="s">
        <v>19</v>
      </c>
      <c r="D28" s="285">
        <v>1714.89</v>
      </c>
      <c r="E28" s="241">
        <v>5031.3500000000004</v>
      </c>
      <c r="F28" s="70"/>
    </row>
    <row r="29" spans="2:6">
      <c r="B29" s="175" t="s">
        <v>4</v>
      </c>
      <c r="C29" s="168" t="s">
        <v>20</v>
      </c>
      <c r="D29" s="286">
        <v>1714.89</v>
      </c>
      <c r="E29" s="242">
        <v>997.02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>
        <v>4034.33</v>
      </c>
      <c r="F31" s="70"/>
    </row>
    <row r="32" spans="2:6">
      <c r="B32" s="89" t="s">
        <v>23</v>
      </c>
      <c r="C32" s="11" t="s">
        <v>24</v>
      </c>
      <c r="D32" s="285">
        <v>1281.3699999999999</v>
      </c>
      <c r="E32" s="241">
        <v>15192.44</v>
      </c>
      <c r="F32" s="70"/>
    </row>
    <row r="33" spans="2:6">
      <c r="B33" s="175" t="s">
        <v>4</v>
      </c>
      <c r="C33" s="168" t="s">
        <v>25</v>
      </c>
      <c r="D33" s="286">
        <v>928.32999999999993</v>
      </c>
      <c r="E33" s="242">
        <v>14853.1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184.47</v>
      </c>
      <c r="E35" s="242">
        <v>171.36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168.57</v>
      </c>
      <c r="E37" s="242">
        <v>167.98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-4270.6899999999996</v>
      </c>
      <c r="E40" s="245">
        <v>1725.26</v>
      </c>
    </row>
    <row r="41" spans="2:6" ht="13.5" thickBot="1">
      <c r="B41" s="96" t="s">
        <v>37</v>
      </c>
      <c r="C41" s="97" t="s">
        <v>38</v>
      </c>
      <c r="D41" s="289">
        <v>28387.47</v>
      </c>
      <c r="E41" s="145">
        <f>E26+E27+E40</f>
        <v>25360.480000000003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249.0119</v>
      </c>
      <c r="E47" s="300">
        <v>259.63210000000004</v>
      </c>
    </row>
    <row r="48" spans="2:6">
      <c r="B48" s="180" t="s">
        <v>6</v>
      </c>
      <c r="C48" s="181" t="s">
        <v>41</v>
      </c>
      <c r="D48" s="299">
        <v>252.37790000000001</v>
      </c>
      <c r="E48" s="146">
        <v>181.92590000000001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129.41</v>
      </c>
      <c r="E50" s="72">
        <v>130.16999999999999</v>
      </c>
    </row>
    <row r="51" spans="2:5">
      <c r="B51" s="178" t="s">
        <v>6</v>
      </c>
      <c r="C51" s="179" t="s">
        <v>114</v>
      </c>
      <c r="D51" s="299">
        <v>87.04</v>
      </c>
      <c r="E51" s="72">
        <v>129.69</v>
      </c>
    </row>
    <row r="52" spans="2:5">
      <c r="B52" s="178" t="s">
        <v>8</v>
      </c>
      <c r="C52" s="179" t="s">
        <v>115</v>
      </c>
      <c r="D52" s="299">
        <v>134.47</v>
      </c>
      <c r="E52" s="72">
        <v>143.41</v>
      </c>
    </row>
    <row r="53" spans="2:5" ht="13.5" customHeight="1" thickBot="1">
      <c r="B53" s="182" t="s">
        <v>9</v>
      </c>
      <c r="C53" s="183" t="s">
        <v>41</v>
      </c>
      <c r="D53" s="297">
        <v>112.48</v>
      </c>
      <c r="E53" s="246">
        <v>139.4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25360.48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25360.48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25360.48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25360.48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1" right="0.75" top="0.56999999999999995" bottom="0.55000000000000004" header="0.5" footer="0.5"/>
  <pageSetup paperSize="9" scale="70" orientation="portrait" r:id="rId1"/>
  <headerFooter alignWithMargins="0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3"/>
  <dimension ref="A1:F81"/>
  <sheetViews>
    <sheetView zoomScale="80" zoomScaleNormal="80" workbookViewId="0">
      <selection activeCell="G13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242</v>
      </c>
      <c r="C6" s="354"/>
      <c r="D6" s="354"/>
      <c r="E6" s="354"/>
    </row>
    <row r="7" spans="2:5" ht="14.25">
      <c r="B7" s="142"/>
      <c r="C7" s="142"/>
      <c r="D7" s="142"/>
      <c r="E7" s="142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3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62760.02</v>
      </c>
      <c r="E11" s="211">
        <f>SUM(E12:E14)</f>
        <v>69749.990000000005</v>
      </c>
    </row>
    <row r="12" spans="2:5">
      <c r="B12" s="167" t="s">
        <v>4</v>
      </c>
      <c r="C12" s="168" t="s">
        <v>5</v>
      </c>
      <c r="D12" s="271">
        <v>62760.02</v>
      </c>
      <c r="E12" s="216">
        <v>69749.990000000005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62760.02</v>
      </c>
      <c r="E21" s="145">
        <f>E11-E17</f>
        <v>69749.990000000005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75863.44</v>
      </c>
      <c r="E26" s="206">
        <f>D21</f>
        <v>62760.02</v>
      </c>
    </row>
    <row r="27" spans="2:6">
      <c r="B27" s="9" t="s">
        <v>17</v>
      </c>
      <c r="C27" s="10" t="s">
        <v>111</v>
      </c>
      <c r="D27" s="285">
        <v>-14371.42</v>
      </c>
      <c r="E27" s="240">
        <v>-613.6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14371.42</v>
      </c>
      <c r="E32" s="241">
        <v>613.6</v>
      </c>
      <c r="F32" s="70"/>
    </row>
    <row r="33" spans="2:6">
      <c r="B33" s="175" t="s">
        <v>4</v>
      </c>
      <c r="C33" s="168" t="s">
        <v>25</v>
      </c>
      <c r="D33" s="286">
        <v>13813.82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60.79</v>
      </c>
      <c r="E35" s="242">
        <v>58.73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496.81</v>
      </c>
      <c r="E37" s="242">
        <v>554.87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-3452.06</v>
      </c>
      <c r="E40" s="245">
        <v>7603.57</v>
      </c>
    </row>
    <row r="41" spans="2:6" ht="13.5" thickBot="1">
      <c r="B41" s="96" t="s">
        <v>37</v>
      </c>
      <c r="C41" s="97" t="s">
        <v>38</v>
      </c>
      <c r="D41" s="289">
        <v>58039.960000000006</v>
      </c>
      <c r="E41" s="145">
        <f>E26+E27+E40</f>
        <v>69749.989999999991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724.37159999999994</v>
      </c>
      <c r="E47" s="300">
        <v>538.34289999999999</v>
      </c>
    </row>
    <row r="48" spans="2:6">
      <c r="B48" s="180" t="s">
        <v>6</v>
      </c>
      <c r="C48" s="181" t="s">
        <v>41</v>
      </c>
      <c r="D48" s="299">
        <v>581.15509999999995</v>
      </c>
      <c r="E48" s="146">
        <v>533.29759999999999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104.73</v>
      </c>
      <c r="E50" s="72">
        <v>116.58</v>
      </c>
    </row>
    <row r="51" spans="2:5">
      <c r="B51" s="178" t="s">
        <v>6</v>
      </c>
      <c r="C51" s="179" t="s">
        <v>114</v>
      </c>
      <c r="D51" s="299">
        <v>73.09</v>
      </c>
      <c r="E51" s="72">
        <v>115.9</v>
      </c>
    </row>
    <row r="52" spans="2:5">
      <c r="B52" s="178" t="s">
        <v>8</v>
      </c>
      <c r="C52" s="179" t="s">
        <v>115</v>
      </c>
      <c r="D52" s="299">
        <v>109.36</v>
      </c>
      <c r="E52" s="72">
        <v>133.38999999999999</v>
      </c>
    </row>
    <row r="53" spans="2:5" ht="12.75" customHeight="1" thickBot="1">
      <c r="B53" s="182" t="s">
        <v>9</v>
      </c>
      <c r="C53" s="183" t="s">
        <v>41</v>
      </c>
      <c r="D53" s="297">
        <v>99.87</v>
      </c>
      <c r="E53" s="246">
        <v>130.79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69749.990000000005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69749.990000000005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69749.990000000005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69749.990000000005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5000000000000004" bottom="0.52" header="0.5" footer="0.5"/>
  <pageSetup paperSize="9" scale="70" orientation="portrait" r:id="rId1"/>
  <headerFooter alignWithMargins="0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4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243</v>
      </c>
      <c r="C6" s="354"/>
      <c r="D6" s="354"/>
      <c r="E6" s="354"/>
    </row>
    <row r="7" spans="2:7" ht="14.25">
      <c r="B7" s="142"/>
      <c r="C7" s="142"/>
      <c r="D7" s="142"/>
      <c r="E7" s="142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117771.06999999999</v>
      </c>
      <c r="E11" s="211">
        <f>SUM(E12:E14)</f>
        <v>118095.71</v>
      </c>
    </row>
    <row r="12" spans="2:7">
      <c r="B12" s="167" t="s">
        <v>4</v>
      </c>
      <c r="C12" s="168" t="s">
        <v>5</v>
      </c>
      <c r="D12" s="271">
        <v>117771.06999999999</v>
      </c>
      <c r="E12" s="216">
        <v>118095.71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117771.06999999999</v>
      </c>
      <c r="E21" s="145">
        <f>E11-E17</f>
        <v>118095.71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110148.53</v>
      </c>
      <c r="E26" s="206">
        <f>D21</f>
        <v>117771.06999999999</v>
      </c>
    </row>
    <row r="27" spans="2:6">
      <c r="B27" s="9" t="s">
        <v>17</v>
      </c>
      <c r="C27" s="10" t="s">
        <v>111</v>
      </c>
      <c r="D27" s="285">
        <v>4312.55</v>
      </c>
      <c r="E27" s="240">
        <v>-13559.72</v>
      </c>
      <c r="F27" s="70"/>
    </row>
    <row r="28" spans="2:6">
      <c r="B28" s="9" t="s">
        <v>18</v>
      </c>
      <c r="C28" s="10" t="s">
        <v>19</v>
      </c>
      <c r="D28" s="285">
        <v>5340.67</v>
      </c>
      <c r="E28" s="241">
        <v>10461.56</v>
      </c>
      <c r="F28" s="70"/>
    </row>
    <row r="29" spans="2:6">
      <c r="B29" s="175" t="s">
        <v>4</v>
      </c>
      <c r="C29" s="168" t="s">
        <v>20</v>
      </c>
      <c r="D29" s="286">
        <v>1586.84</v>
      </c>
      <c r="E29" s="242">
        <v>3949.93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3753.83</v>
      </c>
      <c r="E31" s="242">
        <v>6511.63</v>
      </c>
      <c r="F31" s="70"/>
    </row>
    <row r="32" spans="2:6">
      <c r="B32" s="89" t="s">
        <v>23</v>
      </c>
      <c r="C32" s="11" t="s">
        <v>24</v>
      </c>
      <c r="D32" s="285">
        <v>1028.1199999999999</v>
      </c>
      <c r="E32" s="241">
        <v>24021.279999999999</v>
      </c>
      <c r="F32" s="70"/>
    </row>
    <row r="33" spans="2:6">
      <c r="B33" s="175" t="s">
        <v>4</v>
      </c>
      <c r="C33" s="168" t="s">
        <v>25</v>
      </c>
      <c r="D33" s="286"/>
      <c r="E33" s="242">
        <v>17324.539999999997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122.65</v>
      </c>
      <c r="E35" s="242">
        <v>104.9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761.37</v>
      </c>
      <c r="E37" s="242">
        <v>845.19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144.1</v>
      </c>
      <c r="E39" s="243">
        <v>5746.65</v>
      </c>
      <c r="F39" s="70"/>
    </row>
    <row r="40" spans="2:6" ht="13.5" thickBot="1">
      <c r="B40" s="94" t="s">
        <v>35</v>
      </c>
      <c r="C40" s="95" t="s">
        <v>36</v>
      </c>
      <c r="D40" s="288">
        <v>-11501.36</v>
      </c>
      <c r="E40" s="245">
        <v>13884.36</v>
      </c>
    </row>
    <row r="41" spans="2:6" ht="13.5" thickBot="1">
      <c r="B41" s="96" t="s">
        <v>37</v>
      </c>
      <c r="C41" s="97" t="s">
        <v>38</v>
      </c>
      <c r="D41" s="289">
        <v>102959.72</v>
      </c>
      <c r="E41" s="145">
        <f>E26+E27+E40</f>
        <v>118095.70999999999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540.68589999999995</v>
      </c>
      <c r="E47" s="300">
        <v>565.96219999999994</v>
      </c>
    </row>
    <row r="48" spans="2:6">
      <c r="B48" s="180" t="s">
        <v>6</v>
      </c>
      <c r="C48" s="181" t="s">
        <v>41</v>
      </c>
      <c r="D48" s="299">
        <v>566.49090000000001</v>
      </c>
      <c r="E48" s="146">
        <v>499.03109999999998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203.72</v>
      </c>
      <c r="E50" s="72">
        <v>208.09</v>
      </c>
    </row>
    <row r="51" spans="2:5">
      <c r="B51" s="178" t="s">
        <v>6</v>
      </c>
      <c r="C51" s="179" t="s">
        <v>114</v>
      </c>
      <c r="D51" s="299">
        <v>136.11000000000001</v>
      </c>
      <c r="E51" s="72">
        <v>204.29</v>
      </c>
    </row>
    <row r="52" spans="2:5">
      <c r="B52" s="178" t="s">
        <v>8</v>
      </c>
      <c r="C52" s="179" t="s">
        <v>115</v>
      </c>
      <c r="D52" s="299">
        <v>209.53</v>
      </c>
      <c r="E52" s="72">
        <v>243.39</v>
      </c>
    </row>
    <row r="53" spans="2:5" ht="13.5" customHeight="1" thickBot="1">
      <c r="B53" s="182" t="s">
        <v>9</v>
      </c>
      <c r="C53" s="183" t="s">
        <v>41</v>
      </c>
      <c r="D53" s="297">
        <v>181.75</v>
      </c>
      <c r="E53" s="246">
        <v>236.65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118095.71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118095.71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118095.71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118095.71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2" bottom="0.68" header="0.5" footer="0.5"/>
  <pageSetup paperSize="9" scale="70" orientation="portrait" r:id="rId1"/>
  <headerFooter alignWithMargins="0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5"/>
  <dimension ref="A1:F81"/>
  <sheetViews>
    <sheetView zoomScale="80" zoomScaleNormal="80" workbookViewId="0">
      <selection activeCell="G1" sqref="G1:L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244</v>
      </c>
      <c r="C6" s="354"/>
      <c r="D6" s="354"/>
      <c r="E6" s="354"/>
    </row>
    <row r="7" spans="2:5" ht="14.25">
      <c r="B7" s="142"/>
      <c r="C7" s="142"/>
      <c r="D7" s="142"/>
      <c r="E7" s="142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43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282161.15999999997</v>
      </c>
      <c r="E11" s="211">
        <f>SUM(E12:E14)</f>
        <v>272075.26</v>
      </c>
    </row>
    <row r="12" spans="2:5">
      <c r="B12" s="167" t="s">
        <v>4</v>
      </c>
      <c r="C12" s="168" t="s">
        <v>5</v>
      </c>
      <c r="D12" s="271">
        <v>282161.15999999997</v>
      </c>
      <c r="E12" s="216">
        <v>272075.26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282161.15999999997</v>
      </c>
      <c r="E21" s="145">
        <f>E11-E17</f>
        <v>272075.26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264319.95</v>
      </c>
      <c r="E26" s="206">
        <f>D21</f>
        <v>282161.15999999997</v>
      </c>
    </row>
    <row r="27" spans="2:6">
      <c r="B27" s="9" t="s">
        <v>17</v>
      </c>
      <c r="C27" s="10" t="s">
        <v>111</v>
      </c>
      <c r="D27" s="285">
        <v>2512.9799999999996</v>
      </c>
      <c r="E27" s="240">
        <v>-5880.74</v>
      </c>
      <c r="F27" s="70"/>
    </row>
    <row r="28" spans="2:6">
      <c r="B28" s="9" t="s">
        <v>18</v>
      </c>
      <c r="C28" s="10" t="s">
        <v>19</v>
      </c>
      <c r="D28" s="285">
        <v>18586.29</v>
      </c>
      <c r="E28" s="241">
        <v>9026.7199999999993</v>
      </c>
      <c r="F28" s="70"/>
    </row>
    <row r="29" spans="2:6">
      <c r="B29" s="175" t="s">
        <v>4</v>
      </c>
      <c r="C29" s="168" t="s">
        <v>20</v>
      </c>
      <c r="D29" s="286">
        <v>5716.49</v>
      </c>
      <c r="E29" s="242">
        <v>8029.04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12869.8</v>
      </c>
      <c r="E31" s="242">
        <v>997.68</v>
      </c>
      <c r="F31" s="70"/>
    </row>
    <row r="32" spans="2:6">
      <c r="B32" s="89" t="s">
        <v>23</v>
      </c>
      <c r="C32" s="11" t="s">
        <v>24</v>
      </c>
      <c r="D32" s="285">
        <v>16073.310000000001</v>
      </c>
      <c r="E32" s="241">
        <v>14907.46</v>
      </c>
      <c r="F32" s="70"/>
    </row>
    <row r="33" spans="2:6">
      <c r="B33" s="175" t="s">
        <v>4</v>
      </c>
      <c r="C33" s="168" t="s">
        <v>25</v>
      </c>
      <c r="D33" s="286">
        <v>1055.06</v>
      </c>
      <c r="E33" s="242">
        <v>7080.04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671.74</v>
      </c>
      <c r="E35" s="242">
        <v>560.35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2166.9</v>
      </c>
      <c r="E37" s="242">
        <v>1992.6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12179.61</v>
      </c>
      <c r="E39" s="243">
        <v>5274.47</v>
      </c>
      <c r="F39" s="70"/>
    </row>
    <row r="40" spans="2:6" ht="13.5" thickBot="1">
      <c r="B40" s="94" t="s">
        <v>35</v>
      </c>
      <c r="C40" s="95" t="s">
        <v>36</v>
      </c>
      <c r="D40" s="288">
        <v>8620</v>
      </c>
      <c r="E40" s="245">
        <v>-4205.16</v>
      </c>
    </row>
    <row r="41" spans="2:6" ht="13.5" thickBot="1">
      <c r="B41" s="96" t="s">
        <v>37</v>
      </c>
      <c r="C41" s="97" t="s">
        <v>38</v>
      </c>
      <c r="D41" s="289">
        <v>275452.93</v>
      </c>
      <c r="E41" s="145">
        <f>E26+E27+E40</f>
        <v>272075.26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717.38350000000003</v>
      </c>
      <c r="E47" s="300">
        <v>720.60770000000002</v>
      </c>
    </row>
    <row r="48" spans="2:6">
      <c r="B48" s="120" t="s">
        <v>6</v>
      </c>
      <c r="C48" s="22" t="s">
        <v>41</v>
      </c>
      <c r="D48" s="299">
        <v>724.41859999999997</v>
      </c>
      <c r="E48" s="146">
        <v>705.13220000000001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368.45</v>
      </c>
      <c r="E50" s="72">
        <v>391.56</v>
      </c>
    </row>
    <row r="51" spans="2:5">
      <c r="B51" s="99" t="s">
        <v>6</v>
      </c>
      <c r="C51" s="15" t="s">
        <v>114</v>
      </c>
      <c r="D51" s="299">
        <v>362.74</v>
      </c>
      <c r="E51" s="72">
        <v>382.21</v>
      </c>
    </row>
    <row r="52" spans="2:5">
      <c r="B52" s="99" t="s">
        <v>8</v>
      </c>
      <c r="C52" s="15" t="s">
        <v>115</v>
      </c>
      <c r="D52" s="299">
        <v>380.74</v>
      </c>
      <c r="E52" s="72">
        <v>394.45</v>
      </c>
    </row>
    <row r="53" spans="2:5" ht="13.5" customHeight="1" thickBot="1">
      <c r="B53" s="100" t="s">
        <v>9</v>
      </c>
      <c r="C53" s="17" t="s">
        <v>41</v>
      </c>
      <c r="D53" s="297">
        <v>380.24</v>
      </c>
      <c r="E53" s="246">
        <v>385.85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272075.26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272075.26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272075.26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272075.26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6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245</v>
      </c>
      <c r="C6" s="354"/>
      <c r="D6" s="354"/>
      <c r="E6" s="354"/>
    </row>
    <row r="7" spans="2:7" ht="14.25">
      <c r="B7" s="142"/>
      <c r="C7" s="142"/>
      <c r="D7" s="142"/>
      <c r="E7" s="142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119987.76</v>
      </c>
      <c r="E11" s="211">
        <f>SUM(E12:E14)</f>
        <v>119797.97</v>
      </c>
    </row>
    <row r="12" spans="2:7">
      <c r="B12" s="167" t="s">
        <v>4</v>
      </c>
      <c r="C12" s="168" t="s">
        <v>5</v>
      </c>
      <c r="D12" s="271">
        <v>119987.76</v>
      </c>
      <c r="E12" s="216">
        <v>119797.97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119987.76</v>
      </c>
      <c r="E21" s="145">
        <f>E11-E17</f>
        <v>119797.97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120943.93</v>
      </c>
      <c r="E26" s="206">
        <f>D21</f>
        <v>119987.76</v>
      </c>
    </row>
    <row r="27" spans="2:6">
      <c r="B27" s="9" t="s">
        <v>17</v>
      </c>
      <c r="C27" s="10" t="s">
        <v>111</v>
      </c>
      <c r="D27" s="285">
        <v>-4834.0899999999965</v>
      </c>
      <c r="E27" s="240">
        <v>-1049.92</v>
      </c>
      <c r="F27" s="70"/>
    </row>
    <row r="28" spans="2:6">
      <c r="B28" s="9" t="s">
        <v>18</v>
      </c>
      <c r="C28" s="10" t="s">
        <v>19</v>
      </c>
      <c r="D28" s="285">
        <v>99236.26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99236.26</v>
      </c>
      <c r="E31" s="242"/>
      <c r="F31" s="70"/>
    </row>
    <row r="32" spans="2:6">
      <c r="B32" s="89" t="s">
        <v>23</v>
      </c>
      <c r="C32" s="11" t="s">
        <v>24</v>
      </c>
      <c r="D32" s="285">
        <v>104070.34999999999</v>
      </c>
      <c r="E32" s="241">
        <v>1049.92</v>
      </c>
      <c r="F32" s="70"/>
    </row>
    <row r="33" spans="2:6">
      <c r="B33" s="175" t="s">
        <v>4</v>
      </c>
      <c r="C33" s="168" t="s">
        <v>25</v>
      </c>
      <c r="D33" s="286">
        <v>2055.15</v>
      </c>
      <c r="E33" s="242">
        <v>0.93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155.80000000000001</v>
      </c>
      <c r="E35" s="242">
        <v>68.95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1492.47</v>
      </c>
      <c r="E37" s="242">
        <v>980.04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100366.93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2179.54</v>
      </c>
      <c r="E40" s="245">
        <v>860.13</v>
      </c>
    </row>
    <row r="41" spans="2:6" ht="13.5" thickBot="1">
      <c r="B41" s="96" t="s">
        <v>37</v>
      </c>
      <c r="C41" s="97" t="s">
        <v>38</v>
      </c>
      <c r="D41" s="289">
        <v>118289.37999999999</v>
      </c>
      <c r="E41" s="145">
        <f>E26+E27+E40</f>
        <v>119797.97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528.41630000000009</v>
      </c>
      <c r="E47" s="300">
        <v>508.87549999999999</v>
      </c>
    </row>
    <row r="48" spans="2:6">
      <c r="B48" s="120" t="s">
        <v>6</v>
      </c>
      <c r="C48" s="22" t="s">
        <v>41</v>
      </c>
      <c r="D48" s="299">
        <v>514.10050000000001</v>
      </c>
      <c r="E48" s="146">
        <v>504.45499999999998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228.88</v>
      </c>
      <c r="E50" s="72">
        <v>235.79</v>
      </c>
    </row>
    <row r="51" spans="2:5">
      <c r="B51" s="99" t="s">
        <v>6</v>
      </c>
      <c r="C51" s="15" t="s">
        <v>114</v>
      </c>
      <c r="D51" s="299">
        <v>224.75</v>
      </c>
      <c r="E51" s="72">
        <v>235.79</v>
      </c>
    </row>
    <row r="52" spans="2:5">
      <c r="B52" s="99" t="s">
        <v>8</v>
      </c>
      <c r="C52" s="15" t="s">
        <v>115</v>
      </c>
      <c r="D52" s="299">
        <v>230.87</v>
      </c>
      <c r="E52" s="72">
        <v>238.12</v>
      </c>
    </row>
    <row r="53" spans="2:5" ht="14.25" customHeight="1" thickBot="1">
      <c r="B53" s="100" t="s">
        <v>9</v>
      </c>
      <c r="C53" s="17" t="s">
        <v>41</v>
      </c>
      <c r="D53" s="297">
        <v>230.09</v>
      </c>
      <c r="E53" s="246">
        <v>237.48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119797.97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119797.97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78">
        <f>D73/E21</f>
        <v>0</v>
      </c>
    </row>
    <row r="74" spans="2:5">
      <c r="B74" s="127" t="s">
        <v>64</v>
      </c>
      <c r="C74" s="118" t="s">
        <v>66</v>
      </c>
      <c r="D74" s="119">
        <f>D58-D73</f>
        <v>119797.97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119797.97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1" bottom="0.6" header="0.5" footer="0.5"/>
  <pageSetup paperSize="9" scale="70" orientation="portrait" r:id="rId1"/>
  <headerFooter alignWithMargins="0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7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246</v>
      </c>
      <c r="C6" s="354"/>
      <c r="D6" s="354"/>
      <c r="E6" s="354"/>
    </row>
    <row r="7" spans="2:7" ht="14.25">
      <c r="B7" s="142"/>
      <c r="C7" s="142"/>
      <c r="D7" s="142"/>
      <c r="E7" s="142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117898.27</v>
      </c>
      <c r="E11" s="211">
        <f>SUM(E12:E14)</f>
        <v>129202.77</v>
      </c>
    </row>
    <row r="12" spans="2:7">
      <c r="B12" s="167" t="s">
        <v>4</v>
      </c>
      <c r="C12" s="168" t="s">
        <v>5</v>
      </c>
      <c r="D12" s="271">
        <v>117898.27</v>
      </c>
      <c r="E12" s="216">
        <v>129202.77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117898.27</v>
      </c>
      <c r="E21" s="145">
        <f>E11-E17</f>
        <v>129202.77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104410.36</v>
      </c>
      <c r="E26" s="206">
        <f>D21</f>
        <v>117898.27</v>
      </c>
    </row>
    <row r="27" spans="2:6">
      <c r="B27" s="9" t="s">
        <v>17</v>
      </c>
      <c r="C27" s="10" t="s">
        <v>111</v>
      </c>
      <c r="D27" s="285">
        <v>3588.36</v>
      </c>
      <c r="E27" s="240">
        <v>1867.36</v>
      </c>
      <c r="F27" s="70"/>
    </row>
    <row r="28" spans="2:6">
      <c r="B28" s="9" t="s">
        <v>18</v>
      </c>
      <c r="C28" s="10" t="s">
        <v>19</v>
      </c>
      <c r="D28" s="285">
        <v>5180.21</v>
      </c>
      <c r="E28" s="241">
        <v>5034.68</v>
      </c>
      <c r="F28" s="70"/>
    </row>
    <row r="29" spans="2:6">
      <c r="B29" s="175" t="s">
        <v>4</v>
      </c>
      <c r="C29" s="168" t="s">
        <v>20</v>
      </c>
      <c r="D29" s="286">
        <v>5180.21</v>
      </c>
      <c r="E29" s="242">
        <v>5034.68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1591.85</v>
      </c>
      <c r="E32" s="241">
        <v>3167.32</v>
      </c>
      <c r="F32" s="70"/>
    </row>
    <row r="33" spans="2:6">
      <c r="B33" s="175" t="s">
        <v>4</v>
      </c>
      <c r="C33" s="168" t="s">
        <v>25</v>
      </c>
      <c r="D33" s="286">
        <v>569.17999999999995</v>
      </c>
      <c r="E33" s="242">
        <v>2176.65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234.86</v>
      </c>
      <c r="E35" s="242">
        <v>206.56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787.81</v>
      </c>
      <c r="E37" s="242">
        <v>784.11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-4730.17</v>
      </c>
      <c r="E40" s="245">
        <v>9437.14</v>
      </c>
    </row>
    <row r="41" spans="2:6" ht="13.5" thickBot="1">
      <c r="B41" s="96" t="s">
        <v>37</v>
      </c>
      <c r="C41" s="97" t="s">
        <v>38</v>
      </c>
      <c r="D41" s="289">
        <v>103268.55</v>
      </c>
      <c r="E41" s="145">
        <f>E26+E27+E40</f>
        <v>129202.77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306.20670000000001</v>
      </c>
      <c r="E47" s="300">
        <v>331.37970000000001</v>
      </c>
    </row>
    <row r="48" spans="2:6">
      <c r="B48" s="120" t="s">
        <v>6</v>
      </c>
      <c r="C48" s="22" t="s">
        <v>41</v>
      </c>
      <c r="D48" s="299">
        <v>317.7396</v>
      </c>
      <c r="E48" s="146">
        <v>336.66719999999998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340.98</v>
      </c>
      <c r="E50" s="72">
        <v>355.78</v>
      </c>
    </row>
    <row r="51" spans="2:5">
      <c r="B51" s="99" t="s">
        <v>6</v>
      </c>
      <c r="C51" s="15" t="s">
        <v>114</v>
      </c>
      <c r="D51" s="299">
        <v>269.51</v>
      </c>
      <c r="E51" s="72">
        <v>354.02</v>
      </c>
    </row>
    <row r="52" spans="2:5">
      <c r="B52" s="99" t="s">
        <v>8</v>
      </c>
      <c r="C52" s="15" t="s">
        <v>115</v>
      </c>
      <c r="D52" s="299">
        <v>352.38</v>
      </c>
      <c r="E52" s="72">
        <v>387.82</v>
      </c>
    </row>
    <row r="53" spans="2:5" ht="13.5" customHeight="1" thickBot="1">
      <c r="B53" s="100" t="s">
        <v>9</v>
      </c>
      <c r="C53" s="17" t="s">
        <v>41</v>
      </c>
      <c r="D53" s="297">
        <v>325.01</v>
      </c>
      <c r="E53" s="246">
        <v>383.77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129202.77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129202.77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129202.77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129202.77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5000000000000004" bottom="0.5" header="0.5" footer="0.5"/>
  <pageSetup paperSize="9"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141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10942087.350000001</v>
      </c>
      <c r="E11" s="211">
        <f>SUM(E12:E14)</f>
        <v>12280012.260000002</v>
      </c>
    </row>
    <row r="12" spans="2:7">
      <c r="B12" s="103" t="s">
        <v>4</v>
      </c>
      <c r="C12" s="188" t="s">
        <v>5</v>
      </c>
      <c r="D12" s="271">
        <f>10225040.39+710765.74-1027.08</f>
        <v>10934779.050000001</v>
      </c>
      <c r="E12" s="216">
        <f>11910163.46+360146.76-1467.87</f>
        <v>12268842.350000001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>
        <f>D15</f>
        <v>7308.3</v>
      </c>
      <c r="E14" s="217">
        <f>E15</f>
        <v>11169.91</v>
      </c>
    </row>
    <row r="15" spans="2:7">
      <c r="B15" s="103" t="s">
        <v>106</v>
      </c>
      <c r="C15" s="188" t="s">
        <v>11</v>
      </c>
      <c r="D15" s="272">
        <v>7308.3</v>
      </c>
      <c r="E15" s="217">
        <v>11169.91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2275.79</v>
      </c>
      <c r="E17" s="219">
        <f>E18</f>
        <v>5811.07</v>
      </c>
    </row>
    <row r="18" spans="2:6">
      <c r="B18" s="103" t="s">
        <v>4</v>
      </c>
      <c r="C18" s="188" t="s">
        <v>11</v>
      </c>
      <c r="D18" s="273">
        <v>2275.79</v>
      </c>
      <c r="E18" s="218">
        <v>5811.07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10939811.560000002</v>
      </c>
      <c r="E21" s="145">
        <f>E11-E17</f>
        <v>12274201.190000001</v>
      </c>
      <c r="F21" s="74"/>
    </row>
    <row r="22" spans="2:6">
      <c r="B22" s="3"/>
      <c r="C22" s="7"/>
      <c r="D22" s="8"/>
      <c r="E22" s="250"/>
    </row>
    <row r="23" spans="2:6" ht="13.5">
      <c r="B23" s="356" t="s">
        <v>104</v>
      </c>
      <c r="C23" s="368"/>
      <c r="D23" s="368"/>
      <c r="E23" s="368"/>
    </row>
    <row r="24" spans="2:6" ht="18" customHeight="1" thickBot="1">
      <c r="B24" s="355" t="s">
        <v>105</v>
      </c>
      <c r="C24" s="369"/>
      <c r="D24" s="369"/>
      <c r="E24" s="369"/>
    </row>
    <row r="25" spans="2:6" ht="13.5" thickBot="1">
      <c r="B25" s="83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10176877.6</v>
      </c>
      <c r="E26" s="206">
        <f>D21</f>
        <v>10939811.560000002</v>
      </c>
    </row>
    <row r="27" spans="2:6">
      <c r="B27" s="9" t="s">
        <v>17</v>
      </c>
      <c r="C27" s="10" t="s">
        <v>111</v>
      </c>
      <c r="D27" s="285">
        <v>-935982.26999999979</v>
      </c>
      <c r="E27" s="240">
        <v>-553831.36999999988</v>
      </c>
      <c r="F27" s="70"/>
    </row>
    <row r="28" spans="2:6">
      <c r="B28" s="9" t="s">
        <v>18</v>
      </c>
      <c r="C28" s="10" t="s">
        <v>19</v>
      </c>
      <c r="D28" s="285">
        <v>538160.25</v>
      </c>
      <c r="E28" s="241">
        <v>559132.27</v>
      </c>
      <c r="F28" s="70"/>
    </row>
    <row r="29" spans="2:6">
      <c r="B29" s="101" t="s">
        <v>4</v>
      </c>
      <c r="C29" s="6" t="s">
        <v>20</v>
      </c>
      <c r="D29" s="286">
        <v>506321.25</v>
      </c>
      <c r="E29" s="242">
        <v>481488.35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31839</v>
      </c>
      <c r="E31" s="242">
        <v>77643.92</v>
      </c>
      <c r="F31" s="70"/>
    </row>
    <row r="32" spans="2:6">
      <c r="B32" s="89" t="s">
        <v>23</v>
      </c>
      <c r="C32" s="11" t="s">
        <v>24</v>
      </c>
      <c r="D32" s="285">
        <v>1474142.5199999998</v>
      </c>
      <c r="E32" s="241">
        <v>1112963.6399999999</v>
      </c>
      <c r="F32" s="70"/>
    </row>
    <row r="33" spans="2:6">
      <c r="B33" s="101" t="s">
        <v>4</v>
      </c>
      <c r="C33" s="6" t="s">
        <v>25</v>
      </c>
      <c r="D33" s="286">
        <v>1244019.8599999999</v>
      </c>
      <c r="E33" s="242">
        <v>952185.99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71145.63</v>
      </c>
      <c r="E35" s="242">
        <v>41473.120000000003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65256.33</v>
      </c>
      <c r="E37" s="242">
        <v>81016.759999999995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93720.7</v>
      </c>
      <c r="E39" s="243">
        <v>38287.769999999997</v>
      </c>
      <c r="F39" s="70"/>
    </row>
    <row r="40" spans="2:6" ht="13.5" thickBot="1">
      <c r="B40" s="94" t="s">
        <v>35</v>
      </c>
      <c r="C40" s="95" t="s">
        <v>36</v>
      </c>
      <c r="D40" s="288">
        <v>16641.939999999999</v>
      </c>
      <c r="E40" s="245">
        <v>1888221</v>
      </c>
    </row>
    <row r="41" spans="2:6" ht="13.5" thickBot="1">
      <c r="B41" s="96" t="s">
        <v>37</v>
      </c>
      <c r="C41" s="97" t="s">
        <v>38</v>
      </c>
      <c r="D41" s="289">
        <v>9257537.2699999996</v>
      </c>
      <c r="E41" s="145">
        <f>E26+E27+E40</f>
        <v>12274201.190000003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7.2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80988.870500000005</v>
      </c>
      <c r="E47" s="300">
        <v>69520.419000000009</v>
      </c>
    </row>
    <row r="48" spans="2:6">
      <c r="B48" s="120" t="s">
        <v>6</v>
      </c>
      <c r="C48" s="22" t="s">
        <v>41</v>
      </c>
      <c r="D48" s="299">
        <v>73547.397899999996</v>
      </c>
      <c r="E48" s="310">
        <v>66198.802800000005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125.65770000000001</v>
      </c>
      <c r="E50" s="300">
        <v>157.36110000000002</v>
      </c>
    </row>
    <row r="51" spans="2:5">
      <c r="B51" s="99" t="s">
        <v>6</v>
      </c>
      <c r="C51" s="15" t="s">
        <v>114</v>
      </c>
      <c r="D51" s="299">
        <v>94.142799999999994</v>
      </c>
      <c r="E51" s="249">
        <v>157.36109999999999</v>
      </c>
    </row>
    <row r="52" spans="2:5" ht="12.75" customHeight="1">
      <c r="B52" s="99" t="s">
        <v>8</v>
      </c>
      <c r="C52" s="15" t="s">
        <v>115</v>
      </c>
      <c r="D52" s="299">
        <v>129.8879</v>
      </c>
      <c r="E52" s="249">
        <v>186.29169999999999</v>
      </c>
    </row>
    <row r="53" spans="2:5" ht="13.5" thickBot="1">
      <c r="B53" s="100" t="s">
        <v>9</v>
      </c>
      <c r="C53" s="17" t="s">
        <v>41</v>
      </c>
      <c r="D53" s="297">
        <v>125.8717</v>
      </c>
      <c r="E53" s="246">
        <v>185.41419999999999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12268842.350000001</v>
      </c>
      <c r="E58" s="31">
        <f>D58/E21</f>
        <v>0.99956340621136586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4" customHeight="1">
      <c r="B60" s="14" t="s">
        <v>6</v>
      </c>
      <c r="C60" s="15" t="s">
        <v>45</v>
      </c>
      <c r="D60" s="75">
        <v>0</v>
      </c>
      <c r="E60" s="76">
        <v>0</v>
      </c>
    </row>
    <row r="61" spans="2:5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0</v>
      </c>
      <c r="E62" s="76">
        <v>0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306">
        <f>11910163.46-1467.87</f>
        <v>11908695.590000002</v>
      </c>
      <c r="E64" s="78">
        <f>D64/E21</f>
        <v>0.97022163851299881</v>
      </c>
    </row>
    <row r="65" spans="2:5">
      <c r="B65" s="21" t="s">
        <v>33</v>
      </c>
      <c r="C65" s="22" t="s">
        <v>118</v>
      </c>
      <c r="D65" s="77">
        <v>0</v>
      </c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298">
        <v>360146.76</v>
      </c>
      <c r="E69" s="76">
        <f>D69/E21</f>
        <v>2.9341767698367015E-2</v>
      </c>
    </row>
    <row r="70" spans="2:5">
      <c r="B70" s="109" t="s">
        <v>58</v>
      </c>
      <c r="C70" s="110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f>D71/E21</f>
        <v>0</v>
      </c>
    </row>
    <row r="72" spans="2:5">
      <c r="B72" s="113" t="s">
        <v>60</v>
      </c>
      <c r="C72" s="114" t="s">
        <v>63</v>
      </c>
      <c r="D72" s="115">
        <f>E14</f>
        <v>11169.91</v>
      </c>
      <c r="E72" s="116">
        <f>D72/E21</f>
        <v>9.100315227927267E-4</v>
      </c>
    </row>
    <row r="73" spans="2:5">
      <c r="B73" s="23" t="s">
        <v>62</v>
      </c>
      <c r="C73" s="24" t="s">
        <v>65</v>
      </c>
      <c r="D73" s="25">
        <f>E17</f>
        <v>5811.07</v>
      </c>
      <c r="E73" s="26">
        <f>D73/E21</f>
        <v>4.7343773415856803E-4</v>
      </c>
    </row>
    <row r="74" spans="2:5">
      <c r="B74" s="117" t="s">
        <v>64</v>
      </c>
      <c r="C74" s="118" t="s">
        <v>66</v>
      </c>
      <c r="D74" s="119">
        <f>D58+D71+D72-D73</f>
        <v>12274201.190000001</v>
      </c>
      <c r="E74" s="65">
        <f>E58+E72-E73</f>
        <v>1</v>
      </c>
    </row>
    <row r="75" spans="2:5">
      <c r="B75" s="14" t="s">
        <v>4</v>
      </c>
      <c r="C75" s="15" t="s">
        <v>67</v>
      </c>
      <c r="D75" s="75">
        <f>D74</f>
        <v>12274201.190000001</v>
      </c>
      <c r="E75" s="76">
        <f>E74</f>
        <v>1</v>
      </c>
    </row>
    <row r="76" spans="2:5">
      <c r="B76" s="14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01"/>
      <c r="E78" s="201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4488188976377963" right="0.74803149606299213" top="0.55118110236220474" bottom="0.47244094488188981" header="0.51181102362204722" footer="0.51181102362204722"/>
  <pageSetup paperSize="9" scale="70" orientation="portrait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8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247</v>
      </c>
      <c r="C6" s="354"/>
      <c r="D6" s="354"/>
      <c r="E6" s="354"/>
    </row>
    <row r="7" spans="2:7" ht="14.25">
      <c r="B7" s="142"/>
      <c r="C7" s="142"/>
      <c r="D7" s="142"/>
      <c r="E7" s="142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37408.15</v>
      </c>
      <c r="E11" s="211">
        <f>SUM(E12:E14)</f>
        <v>37484.699999999997</v>
      </c>
    </row>
    <row r="12" spans="2:7">
      <c r="B12" s="167" t="s">
        <v>4</v>
      </c>
      <c r="C12" s="168" t="s">
        <v>5</v>
      </c>
      <c r="D12" s="271">
        <v>37408.15</v>
      </c>
      <c r="E12" s="216">
        <v>37484.699999999997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37408.15</v>
      </c>
      <c r="E21" s="145">
        <f>E11-E17</f>
        <v>37484.699999999997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32313.63</v>
      </c>
      <c r="E26" s="206">
        <f>D21</f>
        <v>37408.15</v>
      </c>
    </row>
    <row r="27" spans="2:6">
      <c r="B27" s="9" t="s">
        <v>17</v>
      </c>
      <c r="C27" s="10" t="s">
        <v>111</v>
      </c>
      <c r="D27" s="285">
        <v>-298.04000000000002</v>
      </c>
      <c r="E27" s="240">
        <v>-281.89999999999998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298.04000000000002</v>
      </c>
      <c r="E32" s="241">
        <v>281.89999999999998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39.25</v>
      </c>
      <c r="E35" s="242">
        <v>38.47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258.79000000000002</v>
      </c>
      <c r="E37" s="242">
        <v>243.43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3.17</v>
      </c>
      <c r="E40" s="245">
        <v>358.45</v>
      </c>
    </row>
    <row r="41" spans="2:6" ht="13.5" thickBot="1">
      <c r="B41" s="96" t="s">
        <v>37</v>
      </c>
      <c r="C41" s="97" t="s">
        <v>38</v>
      </c>
      <c r="D41" s="289">
        <v>32018.76</v>
      </c>
      <c r="E41" s="145">
        <f>E26+E27+E40</f>
        <v>37484.699999999997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257.35610000000003</v>
      </c>
      <c r="E47" s="300">
        <v>292.00020000000001</v>
      </c>
    </row>
    <row r="48" spans="2:6">
      <c r="B48" s="120" t="s">
        <v>6</v>
      </c>
      <c r="C48" s="22" t="s">
        <v>41</v>
      </c>
      <c r="D48" s="299">
        <v>254.9873</v>
      </c>
      <c r="E48" s="146">
        <v>289.8152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125.56</v>
      </c>
      <c r="E50" s="72">
        <v>128.11000000000001</v>
      </c>
    </row>
    <row r="51" spans="2:5">
      <c r="B51" s="99" t="s">
        <v>6</v>
      </c>
      <c r="C51" s="15" t="s">
        <v>114</v>
      </c>
      <c r="D51" s="299">
        <v>124.33</v>
      </c>
      <c r="E51" s="72">
        <v>128.09</v>
      </c>
    </row>
    <row r="52" spans="2:5">
      <c r="B52" s="99" t="s">
        <v>8</v>
      </c>
      <c r="C52" s="15" t="s">
        <v>115</v>
      </c>
      <c r="D52" s="299">
        <v>126.44</v>
      </c>
      <c r="E52" s="72">
        <v>129.38</v>
      </c>
    </row>
    <row r="53" spans="2:5" ht="13.5" customHeight="1" thickBot="1">
      <c r="B53" s="100" t="s">
        <v>9</v>
      </c>
      <c r="C53" s="17" t="s">
        <v>41</v>
      </c>
      <c r="D53" s="297">
        <v>125.57</v>
      </c>
      <c r="E53" s="246">
        <v>129.34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37484.699999999997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37484.699999999997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37484.699999999997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37484.699999999997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4" right="0.75" top="0.55000000000000004" bottom="0.59" header="0.5" footer="0.5"/>
  <pageSetup paperSize="9" scale="70" orientation="portrait" r:id="rId1"/>
  <headerFooter alignWithMargins="0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9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239</v>
      </c>
      <c r="C6" s="354"/>
      <c r="D6" s="354"/>
      <c r="E6" s="354"/>
    </row>
    <row r="7" spans="2:7" ht="14.25">
      <c r="B7" s="142"/>
      <c r="C7" s="142"/>
      <c r="D7" s="142"/>
      <c r="E7" s="142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202024.12</v>
      </c>
      <c r="E11" s="211">
        <f>SUM(E12:E14)</f>
        <v>194849.99</v>
      </c>
    </row>
    <row r="12" spans="2:7">
      <c r="B12" s="167" t="s">
        <v>4</v>
      </c>
      <c r="C12" s="168" t="s">
        <v>5</v>
      </c>
      <c r="D12" s="271">
        <v>202024.12</v>
      </c>
      <c r="E12" s="216">
        <v>194849.99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202024.12</v>
      </c>
      <c r="E21" s="145">
        <f>E11-E17</f>
        <v>194849.99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201233.5</v>
      </c>
      <c r="E26" s="206">
        <f>D21</f>
        <v>202024.12</v>
      </c>
    </row>
    <row r="27" spans="2:6">
      <c r="B27" s="9" t="s">
        <v>17</v>
      </c>
      <c r="C27" s="10" t="s">
        <v>111</v>
      </c>
      <c r="D27" s="285">
        <v>-1115.57</v>
      </c>
      <c r="E27" s="240">
        <v>-747.28</v>
      </c>
      <c r="F27" s="70"/>
    </row>
    <row r="28" spans="2:6">
      <c r="B28" s="9" t="s">
        <v>18</v>
      </c>
      <c r="C28" s="10" t="s">
        <v>19</v>
      </c>
      <c r="D28" s="285">
        <v>794.25</v>
      </c>
      <c r="E28" s="241">
        <v>818.09</v>
      </c>
      <c r="F28" s="70"/>
    </row>
    <row r="29" spans="2:6">
      <c r="B29" s="175" t="s">
        <v>4</v>
      </c>
      <c r="C29" s="168" t="s">
        <v>20</v>
      </c>
      <c r="D29" s="286">
        <v>794.25</v>
      </c>
      <c r="E29" s="242">
        <v>818.09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1909.82</v>
      </c>
      <c r="E32" s="241">
        <v>1565.37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17.7</v>
      </c>
      <c r="E35" s="242">
        <v>13.98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1892.12</v>
      </c>
      <c r="E37" s="242">
        <v>1551.39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5808.65</v>
      </c>
      <c r="E40" s="245">
        <v>-6426.85</v>
      </c>
    </row>
    <row r="41" spans="2:6" ht="13.5" thickBot="1">
      <c r="B41" s="96" t="s">
        <v>37</v>
      </c>
      <c r="C41" s="97" t="s">
        <v>38</v>
      </c>
      <c r="D41" s="289">
        <v>205926.58</v>
      </c>
      <c r="E41" s="145">
        <f>E26+E27+E40</f>
        <v>194849.99</v>
      </c>
      <c r="F41" s="74"/>
    </row>
    <row r="42" spans="2:6">
      <c r="B42" s="90"/>
      <c r="C42" s="90"/>
      <c r="D42" s="205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1017.7701</v>
      </c>
      <c r="E47" s="300">
        <v>1008.0540999999999</v>
      </c>
    </row>
    <row r="48" spans="2:6">
      <c r="B48" s="120" t="s">
        <v>6</v>
      </c>
      <c r="C48" s="22" t="s">
        <v>41</v>
      </c>
      <c r="D48" s="299">
        <v>1012.1729</v>
      </c>
      <c r="E48" s="146">
        <v>1004.2261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197.72</v>
      </c>
      <c r="E50" s="72">
        <v>200.41</v>
      </c>
    </row>
    <row r="51" spans="2:5">
      <c r="B51" s="99" t="s">
        <v>6</v>
      </c>
      <c r="C51" s="15" t="s">
        <v>114</v>
      </c>
      <c r="D51" s="299">
        <v>188.82</v>
      </c>
      <c r="E51" s="72">
        <v>189.03</v>
      </c>
    </row>
    <row r="52" spans="2:5">
      <c r="B52" s="99" t="s">
        <v>8</v>
      </c>
      <c r="C52" s="15" t="s">
        <v>115</v>
      </c>
      <c r="D52" s="299">
        <v>205.54</v>
      </c>
      <c r="E52" s="72">
        <v>203.44</v>
      </c>
    </row>
    <row r="53" spans="2:5" ht="13.5" customHeight="1" thickBot="1">
      <c r="B53" s="100" t="s">
        <v>9</v>
      </c>
      <c r="C53" s="17" t="s">
        <v>41</v>
      </c>
      <c r="D53" s="297">
        <v>203.45</v>
      </c>
      <c r="E53" s="246">
        <v>194.03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194849.99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194849.99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194849.99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194849.99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0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248</v>
      </c>
      <c r="C6" s="354"/>
      <c r="D6" s="354"/>
      <c r="E6" s="354"/>
    </row>
    <row r="7" spans="2:7" ht="14.25">
      <c r="B7" s="142"/>
      <c r="C7" s="142"/>
      <c r="D7" s="142"/>
      <c r="E7" s="142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49124.57</v>
      </c>
      <c r="E11" s="211">
        <f>SUM(E12:E14)</f>
        <v>30948.32</v>
      </c>
    </row>
    <row r="12" spans="2:7">
      <c r="B12" s="167" t="s">
        <v>4</v>
      </c>
      <c r="C12" s="168" t="s">
        <v>5</v>
      </c>
      <c r="D12" s="271">
        <v>49124.57</v>
      </c>
      <c r="E12" s="216">
        <v>30948.32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49124.57</v>
      </c>
      <c r="E21" s="145">
        <f>E11-E17</f>
        <v>30948.32</v>
      </c>
      <c r="F21" s="74"/>
    </row>
    <row r="22" spans="2:6">
      <c r="B22" s="3"/>
      <c r="C22" s="7"/>
      <c r="D22" s="8"/>
      <c r="E22" s="204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40954.5</v>
      </c>
      <c r="E26" s="206">
        <f>D21</f>
        <v>49124.57</v>
      </c>
    </row>
    <row r="27" spans="2:6">
      <c r="B27" s="9" t="s">
        <v>17</v>
      </c>
      <c r="C27" s="10" t="s">
        <v>111</v>
      </c>
      <c r="D27" s="285">
        <v>2396.04</v>
      </c>
      <c r="E27" s="240">
        <v>-19214.55</v>
      </c>
      <c r="F27" s="70"/>
    </row>
    <row r="28" spans="2:6">
      <c r="B28" s="9" t="s">
        <v>18</v>
      </c>
      <c r="C28" s="10" t="s">
        <v>19</v>
      </c>
      <c r="D28" s="285">
        <v>2703.32</v>
      </c>
      <c r="E28" s="241">
        <v>2193.4899999999998</v>
      </c>
      <c r="F28" s="70"/>
    </row>
    <row r="29" spans="2:6">
      <c r="B29" s="175" t="s">
        <v>4</v>
      </c>
      <c r="C29" s="168" t="s">
        <v>20</v>
      </c>
      <c r="D29" s="286">
        <v>2703.32</v>
      </c>
      <c r="E29" s="242">
        <v>2193.4899999999998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307.28000000000003</v>
      </c>
      <c r="E32" s="241">
        <v>21408.04</v>
      </c>
      <c r="F32" s="70"/>
    </row>
    <row r="33" spans="2:6">
      <c r="B33" s="175" t="s">
        <v>4</v>
      </c>
      <c r="C33" s="168" t="s">
        <v>25</v>
      </c>
      <c r="D33" s="286"/>
      <c r="E33" s="242">
        <v>21069.93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30.43</v>
      </c>
      <c r="E35" s="242">
        <v>28.73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276.85000000000002</v>
      </c>
      <c r="E37" s="242">
        <v>309.38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203.52</v>
      </c>
      <c r="E40" s="245">
        <v>1038.3</v>
      </c>
    </row>
    <row r="41" spans="2:6" ht="13.5" thickBot="1">
      <c r="B41" s="96" t="s">
        <v>37</v>
      </c>
      <c r="C41" s="97" t="s">
        <v>38</v>
      </c>
      <c r="D41" s="289">
        <v>43554.06</v>
      </c>
      <c r="E41" s="145">
        <f>E26+E27+E40</f>
        <v>30948.32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218.97290000000001</v>
      </c>
      <c r="E47" s="300">
        <v>244.30359999999999</v>
      </c>
    </row>
    <row r="48" spans="2:6">
      <c r="B48" s="120" t="s">
        <v>6</v>
      </c>
      <c r="C48" s="22" t="s">
        <v>41</v>
      </c>
      <c r="D48" s="299">
        <v>232.11500000000001</v>
      </c>
      <c r="E48" s="146">
        <v>148.06389999999999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187.03</v>
      </c>
      <c r="E50" s="72">
        <v>201.08</v>
      </c>
    </row>
    <row r="51" spans="2:5">
      <c r="B51" s="99" t="s">
        <v>6</v>
      </c>
      <c r="C51" s="15" t="s">
        <v>114</v>
      </c>
      <c r="D51" s="299">
        <v>165.73</v>
      </c>
      <c r="E51" s="72">
        <v>199.25</v>
      </c>
    </row>
    <row r="52" spans="2:5">
      <c r="B52" s="99" t="s">
        <v>8</v>
      </c>
      <c r="C52" s="15" t="s">
        <v>115</v>
      </c>
      <c r="D52" s="299">
        <v>191.06</v>
      </c>
      <c r="E52" s="72">
        <v>209.7</v>
      </c>
    </row>
    <row r="53" spans="2:5" ht="13.5" customHeight="1" thickBot="1">
      <c r="B53" s="100" t="s">
        <v>9</v>
      </c>
      <c r="C53" s="17" t="s">
        <v>41</v>
      </c>
      <c r="D53" s="297">
        <v>187.64</v>
      </c>
      <c r="E53" s="246">
        <v>209.02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30948.32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30948.32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30948.32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30948.32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56999999999999995" bottom="0.49" header="0.5" footer="0.5"/>
  <pageSetup paperSize="9" scale="70" orientation="portrait" r:id="rId1"/>
  <headerFooter alignWithMargins="0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2"/>
  <dimension ref="A1:G81"/>
  <sheetViews>
    <sheetView zoomScale="80" zoomScaleNormal="80" workbookViewId="0">
      <selection activeCell="K28" sqref="K28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238</v>
      </c>
      <c r="C6" s="354"/>
      <c r="D6" s="354"/>
      <c r="E6" s="354"/>
    </row>
    <row r="7" spans="2:7" ht="14.25">
      <c r="B7" s="142"/>
      <c r="C7" s="142"/>
      <c r="D7" s="142"/>
      <c r="E7" s="142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510691.57</v>
      </c>
      <c r="E11" s="211">
        <f>SUM(E12:E14)</f>
        <v>375199.54</v>
      </c>
    </row>
    <row r="12" spans="2:7">
      <c r="B12" s="167" t="s">
        <v>4</v>
      </c>
      <c r="C12" s="168" t="s">
        <v>5</v>
      </c>
      <c r="D12" s="271">
        <v>510691.57</v>
      </c>
      <c r="E12" s="216">
        <v>375199.54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510691.57</v>
      </c>
      <c r="E21" s="145">
        <f>E11-E17</f>
        <v>375199.54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505768.33</v>
      </c>
      <c r="E26" s="206">
        <f>D21</f>
        <v>510691.57</v>
      </c>
    </row>
    <row r="27" spans="2:6">
      <c r="B27" s="9" t="s">
        <v>17</v>
      </c>
      <c r="C27" s="10" t="s">
        <v>111</v>
      </c>
      <c r="D27" s="285">
        <v>-21223.38</v>
      </c>
      <c r="E27" s="240">
        <v>-123135.73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21223.38</v>
      </c>
      <c r="E32" s="241">
        <v>123135.73</v>
      </c>
      <c r="F32" s="70"/>
    </row>
    <row r="33" spans="2:6">
      <c r="B33" s="175" t="s">
        <v>4</v>
      </c>
      <c r="C33" s="168" t="s">
        <v>25</v>
      </c>
      <c r="D33" s="286">
        <v>15796.03</v>
      </c>
      <c r="E33" s="242">
        <v>118934.73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1611.64</v>
      </c>
      <c r="E35" s="242">
        <v>939.2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3815.71</v>
      </c>
      <c r="E37" s="242">
        <v>3261.8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13244.34</v>
      </c>
      <c r="E40" s="245">
        <v>-12356.3</v>
      </c>
    </row>
    <row r="41" spans="2:6" ht="13.5" thickBot="1">
      <c r="B41" s="96" t="s">
        <v>37</v>
      </c>
      <c r="C41" s="97" t="s">
        <v>38</v>
      </c>
      <c r="D41" s="289">
        <v>497789.29000000004</v>
      </c>
      <c r="E41" s="145">
        <f>E26+E27+E40</f>
        <v>375199.54000000004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3066.9355</v>
      </c>
      <c r="E47" s="300">
        <v>2885.1001000000001</v>
      </c>
    </row>
    <row r="48" spans="2:6">
      <c r="B48" s="120" t="s">
        <v>6</v>
      </c>
      <c r="C48" s="22" t="s">
        <v>41</v>
      </c>
      <c r="D48" s="299">
        <v>2939.4112</v>
      </c>
      <c r="E48" s="146">
        <v>2179.8717999999999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164.91</v>
      </c>
      <c r="E50" s="72">
        <v>177.01</v>
      </c>
    </row>
    <row r="51" spans="2:5">
      <c r="B51" s="99" t="s">
        <v>6</v>
      </c>
      <c r="C51" s="15" t="s">
        <v>114</v>
      </c>
      <c r="D51" s="299">
        <v>159.16999999999999</v>
      </c>
      <c r="E51" s="72">
        <v>169.58</v>
      </c>
    </row>
    <row r="52" spans="2:5">
      <c r="B52" s="99" t="s">
        <v>8</v>
      </c>
      <c r="C52" s="15" t="s">
        <v>115</v>
      </c>
      <c r="D52" s="299">
        <v>169.61</v>
      </c>
      <c r="E52" s="72">
        <v>178.05</v>
      </c>
    </row>
    <row r="53" spans="2:5" ht="13.5" customHeight="1" thickBot="1">
      <c r="B53" s="100" t="s">
        <v>9</v>
      </c>
      <c r="C53" s="17" t="s">
        <v>41</v>
      </c>
      <c r="D53" s="297">
        <v>169.35</v>
      </c>
      <c r="E53" s="246">
        <v>172.12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375199.54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375199.54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375199.54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375199.54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254</v>
      </c>
      <c r="C6" s="354"/>
      <c r="D6" s="354"/>
      <c r="E6" s="354"/>
    </row>
    <row r="7" spans="2:7" ht="14.25">
      <c r="B7" s="202"/>
      <c r="C7" s="202"/>
      <c r="D7" s="202"/>
      <c r="E7" s="202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20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122546.98</v>
      </c>
      <c r="E11" s="211">
        <f>SUM(E12:E14)</f>
        <v>280426.03999999998</v>
      </c>
    </row>
    <row r="12" spans="2:7">
      <c r="B12" s="167" t="s">
        <v>4</v>
      </c>
      <c r="C12" s="168" t="s">
        <v>5</v>
      </c>
      <c r="D12" s="271">
        <v>122546.98</v>
      </c>
      <c r="E12" s="216">
        <v>280426.03999999998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122546.98</v>
      </c>
      <c r="E21" s="145">
        <f>E11-E17</f>
        <v>280426.03999999998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203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137500.97</v>
      </c>
      <c r="E26" s="206">
        <f>D21</f>
        <v>122546.98</v>
      </c>
    </row>
    <row r="27" spans="2:6">
      <c r="B27" s="9" t="s">
        <v>17</v>
      </c>
      <c r="C27" s="10" t="s">
        <v>111</v>
      </c>
      <c r="D27" s="285">
        <v>-65251.179999999993</v>
      </c>
      <c r="E27" s="240">
        <v>171821.91</v>
      </c>
      <c r="F27" s="70"/>
    </row>
    <row r="28" spans="2:6">
      <c r="B28" s="9" t="s">
        <v>18</v>
      </c>
      <c r="C28" s="10" t="s">
        <v>19</v>
      </c>
      <c r="D28" s="285">
        <v>75669.78</v>
      </c>
      <c r="E28" s="241">
        <v>199951.01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75669.78</v>
      </c>
      <c r="E31" s="242">
        <v>199951.01</v>
      </c>
      <c r="F31" s="70"/>
    </row>
    <row r="32" spans="2:6">
      <c r="B32" s="89" t="s">
        <v>23</v>
      </c>
      <c r="C32" s="11" t="s">
        <v>24</v>
      </c>
      <c r="D32" s="285">
        <v>140920.95999999999</v>
      </c>
      <c r="E32" s="241">
        <v>28129.1</v>
      </c>
      <c r="F32" s="70"/>
    </row>
    <row r="33" spans="2:6">
      <c r="B33" s="175" t="s">
        <v>4</v>
      </c>
      <c r="C33" s="168" t="s">
        <v>25</v>
      </c>
      <c r="D33" s="286">
        <v>140419.54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73.08</v>
      </c>
      <c r="E35" s="242">
        <v>229.23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428.34</v>
      </c>
      <c r="E37" s="242">
        <v>1246.3699999999999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26653.5</v>
      </c>
      <c r="F39" s="70"/>
    </row>
    <row r="40" spans="2:6" ht="13.5" thickBot="1">
      <c r="B40" s="94" t="s">
        <v>35</v>
      </c>
      <c r="C40" s="95" t="s">
        <v>36</v>
      </c>
      <c r="D40" s="288">
        <v>6531.76</v>
      </c>
      <c r="E40" s="245">
        <v>-13942.85</v>
      </c>
    </row>
    <row r="41" spans="2:6" ht="13.5" thickBot="1">
      <c r="B41" s="96" t="s">
        <v>37</v>
      </c>
      <c r="C41" s="97" t="s">
        <v>38</v>
      </c>
      <c r="D41" s="289">
        <v>78781.55</v>
      </c>
      <c r="E41" s="145">
        <f>E26+E27+E40</f>
        <v>280426.04000000004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20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1146.0324000000001</v>
      </c>
      <c r="E47" s="300">
        <v>903.33910000000003</v>
      </c>
    </row>
    <row r="48" spans="2:6">
      <c r="B48" s="120" t="s">
        <v>6</v>
      </c>
      <c r="C48" s="22" t="s">
        <v>41</v>
      </c>
      <c r="D48" s="299">
        <v>587.74659999999994</v>
      </c>
      <c r="E48" s="146">
        <v>2245.7438999999999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119.98</v>
      </c>
      <c r="E50" s="72">
        <v>135.66</v>
      </c>
    </row>
    <row r="51" spans="2:5">
      <c r="B51" s="99" t="s">
        <v>6</v>
      </c>
      <c r="C51" s="15" t="s">
        <v>114</v>
      </c>
      <c r="D51" s="299">
        <v>111.37</v>
      </c>
      <c r="E51" s="72">
        <v>121.1</v>
      </c>
    </row>
    <row r="52" spans="2:5">
      <c r="B52" s="99" t="s">
        <v>8</v>
      </c>
      <c r="C52" s="15" t="s">
        <v>115</v>
      </c>
      <c r="D52" s="299">
        <v>136.84</v>
      </c>
      <c r="E52" s="72">
        <v>140.65</v>
      </c>
    </row>
    <row r="53" spans="2:5" ht="12.75" customHeight="1" thickBot="1">
      <c r="B53" s="100" t="s">
        <v>9</v>
      </c>
      <c r="C53" s="17" t="s">
        <v>41</v>
      </c>
      <c r="D53" s="297">
        <v>134.04</v>
      </c>
      <c r="E53" s="246">
        <v>124.87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280426.03999999998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280426.03999999998</v>
      </c>
      <c r="E64" s="78">
        <f>E58</f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280426.03999999998</v>
      </c>
      <c r="E74" s="65">
        <f>E58+E72-E73</f>
        <v>0</v>
      </c>
    </row>
    <row r="75" spans="2:5">
      <c r="B75" s="99" t="s">
        <v>4</v>
      </c>
      <c r="C75" s="15" t="s">
        <v>67</v>
      </c>
      <c r="D75" s="75">
        <f>D74</f>
        <v>280426.03999999998</v>
      </c>
      <c r="E75" s="76">
        <f>E74</f>
        <v>0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56999999999999995" right="0.75" top="0.61" bottom="0.49" header="0.5" footer="0.5"/>
  <pageSetup paperSize="9" scale="70" orientation="portrait" r:id="rId1"/>
  <headerFooter alignWithMargins="0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3"/>
  <dimension ref="A1:I49"/>
  <sheetViews>
    <sheetView zoomScale="80" zoomScaleNormal="80" workbookViewId="0">
      <selection activeCell="I13" sqref="I13"/>
    </sheetView>
  </sheetViews>
  <sheetFormatPr defaultRowHeight="12.75"/>
  <cols>
    <col min="3" max="3" width="13.85546875" customWidth="1"/>
    <col min="4" max="4" width="19" customWidth="1"/>
    <col min="5" max="5" width="18.5703125" customWidth="1"/>
    <col min="6" max="6" width="11.28515625" bestFit="1" customWidth="1"/>
    <col min="9" max="9" width="16.42578125" bestFit="1" customWidth="1"/>
  </cols>
  <sheetData>
    <row r="1" spans="1:6">
      <c r="A1" s="32"/>
      <c r="B1" s="33"/>
      <c r="C1" s="33" t="s">
        <v>92</v>
      </c>
      <c r="D1" s="34"/>
      <c r="E1" s="34"/>
      <c r="F1" s="34"/>
    </row>
    <row r="2" spans="1:6">
      <c r="A2" s="32"/>
      <c r="B2" s="33"/>
      <c r="C2" s="33" t="s">
        <v>93</v>
      </c>
      <c r="D2" s="34"/>
      <c r="E2" s="34"/>
      <c r="F2" s="34"/>
    </row>
    <row r="3" spans="1:6">
      <c r="A3" s="32"/>
      <c r="B3" s="33"/>
      <c r="C3" s="33" t="s">
        <v>94</v>
      </c>
      <c r="D3" s="34"/>
      <c r="E3" s="34"/>
      <c r="F3" s="34"/>
    </row>
    <row r="4" spans="1:6">
      <c r="A4" s="32"/>
      <c r="B4" s="33"/>
      <c r="C4" s="33" t="s">
        <v>95</v>
      </c>
      <c r="D4" s="34"/>
      <c r="E4" s="34"/>
      <c r="F4" s="34"/>
    </row>
    <row r="5" spans="1:6">
      <c r="A5" s="32"/>
      <c r="B5" s="33"/>
      <c r="C5" s="33" t="s">
        <v>263</v>
      </c>
      <c r="D5" s="34"/>
      <c r="E5" s="34"/>
      <c r="F5" s="34"/>
    </row>
    <row r="6" spans="1:6" ht="13.5" thickBot="1">
      <c r="A6" s="32"/>
      <c r="B6" s="33"/>
      <c r="C6" s="33"/>
      <c r="D6" s="34"/>
      <c r="E6" s="34"/>
      <c r="F6" s="34"/>
    </row>
    <row r="7" spans="1:6">
      <c r="A7" s="32"/>
      <c r="B7" s="35"/>
      <c r="C7" s="36"/>
      <c r="D7" s="37"/>
      <c r="E7" s="38"/>
      <c r="F7" s="39"/>
    </row>
    <row r="8" spans="1:6">
      <c r="A8" s="32"/>
      <c r="B8" s="40"/>
      <c r="C8" s="41"/>
      <c r="D8" s="42"/>
      <c r="E8" s="43"/>
      <c r="F8" s="39"/>
    </row>
    <row r="9" spans="1:6">
      <c r="A9" s="32"/>
      <c r="B9" s="40"/>
      <c r="C9" s="41"/>
      <c r="D9" s="227">
        <v>44012</v>
      </c>
      <c r="E9" s="228">
        <v>44377</v>
      </c>
      <c r="F9" s="39"/>
    </row>
    <row r="10" spans="1:6" ht="13.5" thickBot="1">
      <c r="A10" s="32"/>
      <c r="B10" s="44"/>
      <c r="C10" s="45"/>
      <c r="D10" s="46"/>
      <c r="E10" s="47"/>
      <c r="F10" s="39"/>
    </row>
    <row r="11" spans="1:6">
      <c r="A11" s="32"/>
      <c r="B11" s="40"/>
      <c r="C11" s="41"/>
      <c r="D11" s="42"/>
      <c r="E11" s="43"/>
      <c r="F11" s="152"/>
    </row>
    <row r="12" spans="1:6">
      <c r="A12" s="32"/>
      <c r="B12" s="40"/>
      <c r="C12" s="41"/>
      <c r="D12" s="48"/>
      <c r="E12" s="49"/>
      <c r="F12" s="152"/>
    </row>
    <row r="13" spans="1:6">
      <c r="A13" s="32"/>
      <c r="B13" s="50" t="s">
        <v>96</v>
      </c>
      <c r="C13" s="51"/>
      <c r="D13" s="52">
        <v>78566522.510000005</v>
      </c>
      <c r="E13" s="259">
        <v>76810227.719999999</v>
      </c>
      <c r="F13" s="152"/>
    </row>
    <row r="14" spans="1:6">
      <c r="A14" s="32"/>
      <c r="B14" s="50"/>
      <c r="C14" s="51"/>
      <c r="D14" s="53"/>
      <c r="E14" s="54"/>
      <c r="F14" s="152"/>
    </row>
    <row r="15" spans="1:6">
      <c r="A15" s="32"/>
      <c r="B15" s="50"/>
      <c r="C15" s="51"/>
      <c r="D15" s="53"/>
      <c r="E15" s="54"/>
      <c r="F15" s="39"/>
    </row>
    <row r="16" spans="1:6" ht="13.5" thickBot="1">
      <c r="A16" s="32"/>
      <c r="B16" s="50"/>
      <c r="C16" s="51"/>
      <c r="D16" s="53"/>
      <c r="E16" s="54"/>
      <c r="F16" s="39"/>
    </row>
    <row r="17" spans="1:9">
      <c r="A17" s="32"/>
      <c r="B17" s="55"/>
      <c r="C17" s="56"/>
      <c r="D17" s="57"/>
      <c r="E17" s="58"/>
      <c r="F17" s="32"/>
    </row>
    <row r="18" spans="1:9">
      <c r="A18" s="32"/>
      <c r="B18" s="50" t="s">
        <v>97</v>
      </c>
      <c r="C18" s="51"/>
      <c r="D18" s="71">
        <f>SUM('Fundusz Gwarantowany:Generali Z'!D35)</f>
        <v>11148770.259999989</v>
      </c>
      <c r="E18" s="52">
        <f>SUM('Fundusz Gwarantowany:Generali Z'!E35)</f>
        <v>10567216.819999998</v>
      </c>
      <c r="F18" s="32"/>
    </row>
    <row r="19" spans="1:9">
      <c r="A19" s="32"/>
      <c r="B19" s="50"/>
      <c r="C19" s="51"/>
      <c r="D19" s="53"/>
      <c r="E19" s="54"/>
      <c r="F19" s="32"/>
    </row>
    <row r="20" spans="1:9" ht="13.5" thickBot="1">
      <c r="A20" s="32"/>
      <c r="B20" s="59"/>
      <c r="C20" s="60"/>
      <c r="D20" s="61"/>
      <c r="E20" s="62"/>
      <c r="F20" s="32"/>
      <c r="G20" s="70"/>
      <c r="H20" s="70"/>
      <c r="I20" s="221"/>
    </row>
    <row r="21" spans="1:9">
      <c r="A21" s="32"/>
      <c r="B21" s="50"/>
      <c r="C21" s="51"/>
      <c r="D21" s="53"/>
      <c r="E21" s="54"/>
      <c r="F21" s="32"/>
      <c r="G21" s="70"/>
      <c r="H21" s="70"/>
      <c r="I21" s="221"/>
    </row>
    <row r="22" spans="1:9">
      <c r="A22" s="32"/>
      <c r="B22" s="50"/>
      <c r="C22" s="51"/>
      <c r="D22" s="53"/>
      <c r="E22" s="54"/>
      <c r="F22" s="32"/>
      <c r="G22" s="70"/>
      <c r="H22" s="70"/>
      <c r="I22" s="221"/>
    </row>
    <row r="23" spans="1:9">
      <c r="A23" s="32"/>
      <c r="B23" s="50" t="s">
        <v>98</v>
      </c>
      <c r="C23" s="51"/>
      <c r="D23" s="53">
        <f>D13-D18</f>
        <v>67417752.250000015</v>
      </c>
      <c r="E23" s="54">
        <f>E13-E18</f>
        <v>66243010.899999999</v>
      </c>
      <c r="F23" s="32"/>
      <c r="G23" s="70"/>
      <c r="H23" s="70"/>
      <c r="I23" s="221"/>
    </row>
    <row r="24" spans="1:9">
      <c r="A24" s="32"/>
      <c r="B24" s="40"/>
      <c r="C24" s="41"/>
      <c r="D24" s="48"/>
      <c r="E24" s="49"/>
      <c r="F24" s="32"/>
      <c r="G24" s="70"/>
      <c r="H24" s="70"/>
      <c r="I24" s="221"/>
    </row>
    <row r="25" spans="1:9">
      <c r="A25" s="32"/>
      <c r="B25" s="40"/>
      <c r="C25" s="41"/>
      <c r="D25" s="48"/>
      <c r="E25" s="49"/>
      <c r="F25" s="32"/>
      <c r="G25" s="70"/>
      <c r="H25" s="70"/>
      <c r="I25" s="70"/>
    </row>
    <row r="26" spans="1:9" ht="13.5" thickBot="1">
      <c r="A26" s="32"/>
      <c r="B26" s="44"/>
      <c r="C26" s="45"/>
      <c r="D26" s="63"/>
      <c r="E26" s="64"/>
      <c r="F26" s="32"/>
    </row>
    <row r="28" spans="1:9">
      <c r="E28" s="66"/>
    </row>
    <row r="30" spans="1:9">
      <c r="D30" s="70"/>
      <c r="E30" s="70"/>
    </row>
    <row r="31" spans="1:9">
      <c r="D31" s="70"/>
      <c r="E31" s="70"/>
    </row>
    <row r="32" spans="1:9">
      <c r="D32" s="70"/>
      <c r="E32" s="70"/>
    </row>
    <row r="33" spans="4:5">
      <c r="D33" s="70"/>
      <c r="E33" s="70"/>
    </row>
    <row r="34" spans="4:5">
      <c r="D34" s="70"/>
      <c r="E34" s="70"/>
    </row>
    <row r="35" spans="4:5">
      <c r="D35" s="70"/>
      <c r="E35" s="70"/>
    </row>
    <row r="38" spans="4:5">
      <c r="E38" s="70"/>
    </row>
    <row r="39" spans="4:5">
      <c r="E39" s="70"/>
    </row>
    <row r="40" spans="4:5">
      <c r="E40" s="70"/>
    </row>
    <row r="41" spans="4:5">
      <c r="E41" s="70"/>
    </row>
    <row r="42" spans="4:5">
      <c r="E42" s="70"/>
    </row>
    <row r="43" spans="4:5">
      <c r="E43" s="70"/>
    </row>
    <row r="44" spans="4:5">
      <c r="E44" s="70"/>
    </row>
    <row r="45" spans="4:5">
      <c r="D45" s="70"/>
      <c r="E45" s="70"/>
    </row>
    <row r="46" spans="4:5">
      <c r="E46" s="70"/>
    </row>
    <row r="48" spans="4:5">
      <c r="E48" s="70"/>
    </row>
    <row r="49" spans="5:5">
      <c r="E49" s="70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L81"/>
  <sheetViews>
    <sheetView topLeftCell="A19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125</v>
      </c>
      <c r="C5" s="353"/>
      <c r="D5" s="353"/>
      <c r="E5" s="353"/>
    </row>
    <row r="6" spans="2:7" ht="14.25">
      <c r="B6" s="354" t="s">
        <v>142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126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56" t="s">
        <v>255</v>
      </c>
      <c r="E10" s="223" t="s">
        <v>260</v>
      </c>
    </row>
    <row r="11" spans="2:7">
      <c r="B11" s="87" t="s">
        <v>127</v>
      </c>
      <c r="C11" s="187" t="s">
        <v>109</v>
      </c>
      <c r="D11" s="270">
        <f>SUM(D12:D14)</f>
        <v>17740206.459999997</v>
      </c>
      <c r="E11" s="211">
        <f>SUM(E12:E14)</f>
        <v>17624379.050000001</v>
      </c>
    </row>
    <row r="12" spans="2:7">
      <c r="B12" s="103">
        <v>1</v>
      </c>
      <c r="C12" s="188" t="s">
        <v>5</v>
      </c>
      <c r="D12" s="271">
        <f>17299323.24+468212.15-36853.61</f>
        <v>17730681.779999997</v>
      </c>
      <c r="E12" s="216">
        <f>17182767.92+431006.9-1232.14</f>
        <v>17612542.68</v>
      </c>
    </row>
    <row r="13" spans="2:7">
      <c r="B13" s="103">
        <v>2</v>
      </c>
      <c r="C13" s="188" t="s">
        <v>7</v>
      </c>
      <c r="D13" s="272"/>
      <c r="E13" s="217"/>
    </row>
    <row r="14" spans="2:7">
      <c r="B14" s="103">
        <v>3</v>
      </c>
      <c r="C14" s="188" t="s">
        <v>10</v>
      </c>
      <c r="D14" s="272">
        <f>D15</f>
        <v>9524.68</v>
      </c>
      <c r="E14" s="217">
        <f>E15</f>
        <v>11836.37</v>
      </c>
    </row>
    <row r="15" spans="2:7">
      <c r="B15" s="103">
        <v>31</v>
      </c>
      <c r="C15" s="188" t="s">
        <v>11</v>
      </c>
      <c r="D15" s="272">
        <v>9524.68</v>
      </c>
      <c r="E15" s="217">
        <v>11836.37</v>
      </c>
    </row>
    <row r="16" spans="2:7">
      <c r="B16" s="104">
        <v>32</v>
      </c>
      <c r="C16" s="189" t="s">
        <v>12</v>
      </c>
      <c r="D16" s="273"/>
      <c r="E16" s="218"/>
    </row>
    <row r="17" spans="2:12">
      <c r="B17" s="9" t="s">
        <v>128</v>
      </c>
      <c r="C17" s="190" t="s">
        <v>65</v>
      </c>
      <c r="D17" s="274">
        <f>D18</f>
        <v>59201.29</v>
      </c>
      <c r="E17" s="219">
        <f>E18</f>
        <v>14202.54</v>
      </c>
    </row>
    <row r="18" spans="2:12">
      <c r="B18" s="103">
        <v>1</v>
      </c>
      <c r="C18" s="188" t="s">
        <v>11</v>
      </c>
      <c r="D18" s="273">
        <v>59201.29</v>
      </c>
      <c r="E18" s="218">
        <v>14202.54</v>
      </c>
    </row>
    <row r="19" spans="2:12" ht="15" customHeight="1">
      <c r="B19" s="103">
        <v>2</v>
      </c>
      <c r="C19" s="188" t="s">
        <v>108</v>
      </c>
      <c r="D19" s="272"/>
      <c r="E19" s="217"/>
    </row>
    <row r="20" spans="2:12" ht="13.5" thickBot="1">
      <c r="B20" s="105">
        <v>3</v>
      </c>
      <c r="C20" s="68" t="s">
        <v>14</v>
      </c>
      <c r="D20" s="275"/>
      <c r="E20" s="212"/>
    </row>
    <row r="21" spans="2:12" ht="13.5" thickBot="1">
      <c r="B21" s="362" t="s">
        <v>129</v>
      </c>
      <c r="C21" s="363"/>
      <c r="D21" s="276">
        <f>D11-D17</f>
        <v>17681005.169999998</v>
      </c>
      <c r="E21" s="145">
        <f>E11-E17</f>
        <v>17610176.510000002</v>
      </c>
      <c r="F21" s="74"/>
    </row>
    <row r="22" spans="2:12">
      <c r="B22" s="3"/>
      <c r="C22" s="7"/>
      <c r="D22" s="8"/>
      <c r="E22" s="250"/>
      <c r="L22" s="166"/>
    </row>
    <row r="23" spans="2:12" ht="13.5">
      <c r="B23" s="356" t="s">
        <v>130</v>
      </c>
      <c r="C23" s="368"/>
      <c r="D23" s="368"/>
      <c r="E23" s="368"/>
    </row>
    <row r="24" spans="2:12" ht="15.75" customHeight="1" thickBot="1">
      <c r="B24" s="355" t="s">
        <v>105</v>
      </c>
      <c r="C24" s="369"/>
      <c r="D24" s="369"/>
      <c r="E24" s="369"/>
    </row>
    <row r="25" spans="2:12" ht="13.5" thickBot="1">
      <c r="B25" s="83"/>
      <c r="C25" s="5" t="s">
        <v>2</v>
      </c>
      <c r="D25" s="256" t="s">
        <v>262</v>
      </c>
      <c r="E25" s="223" t="s">
        <v>260</v>
      </c>
    </row>
    <row r="26" spans="2:12">
      <c r="B26" s="92" t="s">
        <v>131</v>
      </c>
      <c r="C26" s="93" t="s">
        <v>16</v>
      </c>
      <c r="D26" s="318">
        <v>17063024.950000003</v>
      </c>
      <c r="E26" s="206">
        <f>D21</f>
        <v>17681005.169999998</v>
      </c>
    </row>
    <row r="27" spans="2:12">
      <c r="B27" s="9" t="s">
        <v>132</v>
      </c>
      <c r="C27" s="10" t="s">
        <v>111</v>
      </c>
      <c r="D27" s="319">
        <v>-724286.46</v>
      </c>
      <c r="E27" s="240">
        <v>-1254273.3400000001</v>
      </c>
      <c r="F27" s="70"/>
    </row>
    <row r="28" spans="2:12">
      <c r="B28" s="9" t="s">
        <v>126</v>
      </c>
      <c r="C28" s="10" t="s">
        <v>19</v>
      </c>
      <c r="D28" s="319">
        <v>606303.22</v>
      </c>
      <c r="E28" s="241">
        <v>566890.69999999995</v>
      </c>
      <c r="F28" s="70"/>
    </row>
    <row r="29" spans="2:12">
      <c r="B29" s="101">
        <v>1</v>
      </c>
      <c r="C29" s="6" t="s">
        <v>20</v>
      </c>
      <c r="D29" s="271">
        <v>585186.49</v>
      </c>
      <c r="E29" s="242">
        <v>558726</v>
      </c>
      <c r="F29" s="70"/>
    </row>
    <row r="30" spans="2:12">
      <c r="B30" s="101">
        <v>2</v>
      </c>
      <c r="C30" s="6" t="s">
        <v>21</v>
      </c>
      <c r="D30" s="271"/>
      <c r="E30" s="242"/>
      <c r="F30" s="70"/>
    </row>
    <row r="31" spans="2:12">
      <c r="B31" s="101">
        <v>3</v>
      </c>
      <c r="C31" s="6" t="s">
        <v>22</v>
      </c>
      <c r="D31" s="271">
        <v>21116.73</v>
      </c>
      <c r="E31" s="242">
        <v>8164.6999999999989</v>
      </c>
      <c r="F31" s="70"/>
    </row>
    <row r="32" spans="2:12">
      <c r="B32" s="89" t="s">
        <v>133</v>
      </c>
      <c r="C32" s="11" t="s">
        <v>24</v>
      </c>
      <c r="D32" s="319">
        <v>1330589.68</v>
      </c>
      <c r="E32" s="241">
        <v>1821164.04</v>
      </c>
      <c r="F32" s="70"/>
    </row>
    <row r="33" spans="2:6">
      <c r="B33" s="101">
        <v>1</v>
      </c>
      <c r="C33" s="6" t="s">
        <v>25</v>
      </c>
      <c r="D33" s="271">
        <v>1090129.3500000001</v>
      </c>
      <c r="E33" s="242">
        <v>1581448.26</v>
      </c>
      <c r="F33" s="70"/>
    </row>
    <row r="34" spans="2:6">
      <c r="B34" s="101">
        <v>2</v>
      </c>
      <c r="C34" s="6" t="s">
        <v>26</v>
      </c>
      <c r="D34" s="271"/>
      <c r="E34" s="242"/>
      <c r="F34" s="70"/>
    </row>
    <row r="35" spans="2:6">
      <c r="B35" s="101">
        <v>3</v>
      </c>
      <c r="C35" s="6" t="s">
        <v>27</v>
      </c>
      <c r="D35" s="271">
        <v>72148.42</v>
      </c>
      <c r="E35" s="242">
        <v>40011.5</v>
      </c>
      <c r="F35" s="70"/>
    </row>
    <row r="36" spans="2:6">
      <c r="B36" s="101">
        <v>4</v>
      </c>
      <c r="C36" s="6" t="s">
        <v>28</v>
      </c>
      <c r="D36" s="271"/>
      <c r="E36" s="242"/>
      <c r="F36" s="70"/>
    </row>
    <row r="37" spans="2:6" ht="25.5">
      <c r="B37" s="101">
        <v>5</v>
      </c>
      <c r="C37" s="6" t="s">
        <v>30</v>
      </c>
      <c r="D37" s="271">
        <v>123980.78</v>
      </c>
      <c r="E37" s="242">
        <v>130953.09</v>
      </c>
      <c r="F37" s="70"/>
    </row>
    <row r="38" spans="2:6">
      <c r="B38" s="101">
        <v>6</v>
      </c>
      <c r="C38" s="6" t="s">
        <v>32</v>
      </c>
      <c r="D38" s="271"/>
      <c r="E38" s="242"/>
      <c r="F38" s="70"/>
    </row>
    <row r="39" spans="2:6">
      <c r="B39" s="102">
        <v>7</v>
      </c>
      <c r="C39" s="12" t="s">
        <v>34</v>
      </c>
      <c r="D39" s="320">
        <v>44331.13</v>
      </c>
      <c r="E39" s="243">
        <v>68751.19</v>
      </c>
      <c r="F39" s="70"/>
    </row>
    <row r="40" spans="2:6" ht="13.5" thickBot="1">
      <c r="B40" s="94" t="s">
        <v>134</v>
      </c>
      <c r="C40" s="95" t="s">
        <v>36</v>
      </c>
      <c r="D40" s="321">
        <v>312400.09000000003</v>
      </c>
      <c r="E40" s="245">
        <v>1183444.68</v>
      </c>
    </row>
    <row r="41" spans="2:6" ht="13.5" thickBot="1">
      <c r="B41" s="96" t="s">
        <v>135</v>
      </c>
      <c r="C41" s="97" t="s">
        <v>38</v>
      </c>
      <c r="D41" s="276">
        <v>16651138.580000002</v>
      </c>
      <c r="E41" s="145">
        <f>E26+E27+E40</f>
        <v>17610176.509999998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136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126</v>
      </c>
      <c r="C46" s="30" t="s">
        <v>112</v>
      </c>
      <c r="D46" s="98"/>
      <c r="E46" s="28"/>
    </row>
    <row r="47" spans="2:6">
      <c r="B47" s="99">
        <v>1</v>
      </c>
      <c r="C47" s="15" t="s">
        <v>40</v>
      </c>
      <c r="D47" s="290">
        <v>124326.6963</v>
      </c>
      <c r="E47" s="300">
        <v>113872.3907</v>
      </c>
    </row>
    <row r="48" spans="2:6">
      <c r="B48" s="120">
        <v>2</v>
      </c>
      <c r="C48" s="22" t="s">
        <v>41</v>
      </c>
      <c r="D48" s="290">
        <v>119095.63280000001</v>
      </c>
      <c r="E48" s="291">
        <v>106016.3766</v>
      </c>
    </row>
    <row r="49" spans="2:5">
      <c r="B49" s="117" t="s">
        <v>133</v>
      </c>
      <c r="C49" s="121" t="s">
        <v>113</v>
      </c>
      <c r="D49" s="292"/>
      <c r="E49" s="122"/>
    </row>
    <row r="50" spans="2:5">
      <c r="B50" s="99">
        <v>1</v>
      </c>
      <c r="C50" s="15" t="s">
        <v>40</v>
      </c>
      <c r="D50" s="290">
        <v>137.24350000000001</v>
      </c>
      <c r="E50" s="300">
        <v>155.27030000000002</v>
      </c>
    </row>
    <row r="51" spans="2:5">
      <c r="B51" s="99">
        <v>2</v>
      </c>
      <c r="C51" s="15" t="s">
        <v>114</v>
      </c>
      <c r="D51" s="290">
        <v>120.5645</v>
      </c>
      <c r="E51" s="249">
        <v>155.27029999999999</v>
      </c>
    </row>
    <row r="52" spans="2:5" ht="12.75" customHeight="1">
      <c r="B52" s="99">
        <v>3</v>
      </c>
      <c r="C52" s="15" t="s">
        <v>115</v>
      </c>
      <c r="D52" s="290">
        <v>141.68279999999999</v>
      </c>
      <c r="E52" s="249">
        <v>166.63839999999999</v>
      </c>
    </row>
    <row r="53" spans="2:5" ht="13.5" thickBot="1">
      <c r="B53" s="100">
        <v>4</v>
      </c>
      <c r="C53" s="17" t="s">
        <v>41</v>
      </c>
      <c r="D53" s="297">
        <v>139.81319999999999</v>
      </c>
      <c r="E53" s="246">
        <v>166.10810000000001</v>
      </c>
    </row>
    <row r="54" spans="2:5">
      <c r="B54" s="106"/>
      <c r="C54" s="107"/>
      <c r="D54" s="108"/>
      <c r="E54" s="108"/>
    </row>
    <row r="55" spans="2:5" ht="13.5">
      <c r="B55" s="357" t="s">
        <v>137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126</v>
      </c>
      <c r="C58" s="123" t="s">
        <v>43</v>
      </c>
      <c r="D58" s="124">
        <f>SUM(D59:D70)</f>
        <v>17612542.68</v>
      </c>
      <c r="E58" s="31">
        <f>D58/E21</f>
        <v>1.0001343637866806</v>
      </c>
    </row>
    <row r="59" spans="2:5" ht="25.5">
      <c r="B59" s="21">
        <v>1</v>
      </c>
      <c r="C59" s="22" t="s">
        <v>44</v>
      </c>
      <c r="D59" s="77">
        <v>0</v>
      </c>
      <c r="E59" s="78">
        <v>0</v>
      </c>
    </row>
    <row r="60" spans="2:5" ht="24" customHeight="1">
      <c r="B60" s="14">
        <v>2</v>
      </c>
      <c r="C60" s="15" t="s">
        <v>45</v>
      </c>
      <c r="D60" s="75">
        <v>0</v>
      </c>
      <c r="E60" s="76">
        <v>0</v>
      </c>
    </row>
    <row r="61" spans="2:5">
      <c r="B61" s="14">
        <v>3</v>
      </c>
      <c r="C61" s="15" t="s">
        <v>46</v>
      </c>
      <c r="D61" s="75">
        <v>0</v>
      </c>
      <c r="E61" s="76">
        <v>0</v>
      </c>
    </row>
    <row r="62" spans="2:5">
      <c r="B62" s="14">
        <v>4</v>
      </c>
      <c r="C62" s="15" t="s">
        <v>47</v>
      </c>
      <c r="D62" s="75">
        <v>0</v>
      </c>
      <c r="E62" s="76">
        <v>0</v>
      </c>
    </row>
    <row r="63" spans="2:5">
      <c r="B63" s="14">
        <v>5</v>
      </c>
      <c r="C63" s="15" t="s">
        <v>48</v>
      </c>
      <c r="D63" s="75">
        <v>0</v>
      </c>
      <c r="E63" s="76">
        <v>0</v>
      </c>
    </row>
    <row r="64" spans="2:5">
      <c r="B64" s="21">
        <v>6</v>
      </c>
      <c r="C64" s="22" t="s">
        <v>49</v>
      </c>
      <c r="D64" s="306">
        <f>17182767.92-1232.14</f>
        <v>17181535.780000001</v>
      </c>
      <c r="E64" s="78">
        <f>D64/E21</f>
        <v>0.97565948701555627</v>
      </c>
    </row>
    <row r="65" spans="2:5">
      <c r="B65" s="21">
        <v>7</v>
      </c>
      <c r="C65" s="22" t="s">
        <v>118</v>
      </c>
      <c r="D65" s="77">
        <v>0</v>
      </c>
      <c r="E65" s="78">
        <v>0</v>
      </c>
    </row>
    <row r="66" spans="2:5">
      <c r="B66" s="21">
        <v>8</v>
      </c>
      <c r="C66" s="22" t="s">
        <v>51</v>
      </c>
      <c r="D66" s="77">
        <v>0</v>
      </c>
      <c r="E66" s="78">
        <v>0</v>
      </c>
    </row>
    <row r="67" spans="2:5">
      <c r="B67" s="14">
        <v>9</v>
      </c>
      <c r="C67" s="15" t="s">
        <v>53</v>
      </c>
      <c r="D67" s="75">
        <v>0</v>
      </c>
      <c r="E67" s="76">
        <v>0</v>
      </c>
    </row>
    <row r="68" spans="2:5">
      <c r="B68" s="14">
        <v>10</v>
      </c>
      <c r="C68" s="15" t="s">
        <v>55</v>
      </c>
      <c r="D68" s="75">
        <v>0</v>
      </c>
      <c r="E68" s="76">
        <v>0</v>
      </c>
    </row>
    <row r="69" spans="2:5">
      <c r="B69" s="14">
        <v>11</v>
      </c>
      <c r="C69" s="15" t="s">
        <v>57</v>
      </c>
      <c r="D69" s="298">
        <v>431006.9</v>
      </c>
      <c r="E69" s="76">
        <f>D69/E21</f>
        <v>2.4474876771124424E-2</v>
      </c>
    </row>
    <row r="70" spans="2:5">
      <c r="B70" s="109">
        <v>12</v>
      </c>
      <c r="C70" s="110" t="s">
        <v>59</v>
      </c>
      <c r="D70" s="111">
        <v>0</v>
      </c>
      <c r="E70" s="112">
        <v>0</v>
      </c>
    </row>
    <row r="71" spans="2:5">
      <c r="B71" s="117" t="s">
        <v>133</v>
      </c>
      <c r="C71" s="118" t="s">
        <v>61</v>
      </c>
      <c r="D71" s="119">
        <f>E13</f>
        <v>0</v>
      </c>
      <c r="E71" s="65">
        <f>D71/E21</f>
        <v>0</v>
      </c>
    </row>
    <row r="72" spans="2:5">
      <c r="B72" s="113" t="s">
        <v>136</v>
      </c>
      <c r="C72" s="114" t="s">
        <v>63</v>
      </c>
      <c r="D72" s="115">
        <f>E14</f>
        <v>11836.37</v>
      </c>
      <c r="E72" s="116">
        <f>D72/E21</f>
        <v>6.7213238852425333E-4</v>
      </c>
    </row>
    <row r="73" spans="2:5">
      <c r="B73" s="23" t="s">
        <v>137</v>
      </c>
      <c r="C73" s="24" t="s">
        <v>65</v>
      </c>
      <c r="D73" s="25">
        <f>E17</f>
        <v>14202.54</v>
      </c>
      <c r="E73" s="26">
        <f>D73/E21</f>
        <v>8.0649617520500369E-4</v>
      </c>
    </row>
    <row r="74" spans="2:5">
      <c r="B74" s="117" t="s">
        <v>138</v>
      </c>
      <c r="C74" s="118" t="s">
        <v>66</v>
      </c>
      <c r="D74" s="119">
        <f>D58+D71+D72-D73</f>
        <v>17610176.510000002</v>
      </c>
      <c r="E74" s="65">
        <f>E58+E72-E73</f>
        <v>0.99999999999999978</v>
      </c>
    </row>
    <row r="75" spans="2:5">
      <c r="B75" s="14">
        <v>1</v>
      </c>
      <c r="C75" s="15" t="s">
        <v>67</v>
      </c>
      <c r="D75" s="75">
        <f>D74</f>
        <v>17610176.510000002</v>
      </c>
      <c r="E75" s="76">
        <f>E74</f>
        <v>0.99999999999999978</v>
      </c>
    </row>
    <row r="76" spans="2:5">
      <c r="B76" s="14">
        <v>2</v>
      </c>
      <c r="C76" s="15" t="s">
        <v>119</v>
      </c>
      <c r="D76" s="75">
        <v>0</v>
      </c>
      <c r="E76" s="76">
        <v>0</v>
      </c>
    </row>
    <row r="77" spans="2:5" ht="13.5" thickBot="1">
      <c r="B77" s="16">
        <v>3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1.03" right="0.75" top="0.6" bottom="0.19" header="0.5" footer="0.5"/>
  <pageSetup paperSize="9"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H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143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11649196.120000001</v>
      </c>
      <c r="E11" s="211">
        <f>SUM(E12:E14)</f>
        <v>11951616.360000001</v>
      </c>
    </row>
    <row r="12" spans="2:7">
      <c r="B12" s="103" t="s">
        <v>4</v>
      </c>
      <c r="C12" s="188" t="s">
        <v>5</v>
      </c>
      <c r="D12" s="271">
        <f>10976195.56+673000.56</f>
        <v>11649196.120000001</v>
      </c>
      <c r="E12" s="216">
        <f>11862639.89+308969.06-220240.78</f>
        <v>11951368.170000002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/>
      <c r="E14" s="217">
        <f>E15</f>
        <v>248.19</v>
      </c>
    </row>
    <row r="15" spans="2:7">
      <c r="B15" s="103" t="s">
        <v>106</v>
      </c>
      <c r="C15" s="188" t="s">
        <v>11</v>
      </c>
      <c r="D15" s="272"/>
      <c r="E15" s="217">
        <v>248.19</v>
      </c>
    </row>
    <row r="16" spans="2:7">
      <c r="B16" s="104" t="s">
        <v>107</v>
      </c>
      <c r="C16" s="189" t="s">
        <v>12</v>
      </c>
      <c r="D16" s="273"/>
      <c r="E16" s="218"/>
    </row>
    <row r="17" spans="2:8">
      <c r="B17" s="9" t="s">
        <v>13</v>
      </c>
      <c r="C17" s="190" t="s">
        <v>65</v>
      </c>
      <c r="D17" s="274">
        <f>D18</f>
        <v>375.22</v>
      </c>
      <c r="E17" s="219">
        <f>E18</f>
        <v>1324.2</v>
      </c>
    </row>
    <row r="18" spans="2:8">
      <c r="B18" s="103" t="s">
        <v>4</v>
      </c>
      <c r="C18" s="188" t="s">
        <v>11</v>
      </c>
      <c r="D18" s="273">
        <v>375.22</v>
      </c>
      <c r="E18" s="218">
        <v>1324.2</v>
      </c>
    </row>
    <row r="19" spans="2:8" ht="15" customHeight="1">
      <c r="B19" s="103" t="s">
        <v>6</v>
      </c>
      <c r="C19" s="188" t="s">
        <v>108</v>
      </c>
      <c r="D19" s="272"/>
      <c r="E19" s="217"/>
    </row>
    <row r="20" spans="2:8" ht="13.5" thickBot="1">
      <c r="B20" s="105" t="s">
        <v>8</v>
      </c>
      <c r="C20" s="68" t="s">
        <v>14</v>
      </c>
      <c r="D20" s="275"/>
      <c r="E20" s="212"/>
    </row>
    <row r="21" spans="2:8" ht="13.5" thickBot="1">
      <c r="B21" s="362" t="s">
        <v>110</v>
      </c>
      <c r="C21" s="363"/>
      <c r="D21" s="276">
        <f>D11-D17</f>
        <v>11648820.9</v>
      </c>
      <c r="E21" s="145">
        <f>E11-E17</f>
        <v>11950292.160000002</v>
      </c>
      <c r="F21" s="74"/>
      <c r="H21" s="166"/>
    </row>
    <row r="22" spans="2:8">
      <c r="B22" s="3"/>
      <c r="C22" s="7"/>
      <c r="D22" s="8"/>
      <c r="E22" s="8"/>
    </row>
    <row r="23" spans="2:8" ht="13.5">
      <c r="B23" s="356" t="s">
        <v>104</v>
      </c>
      <c r="C23" s="368"/>
      <c r="D23" s="368"/>
      <c r="E23" s="368"/>
    </row>
    <row r="24" spans="2:8" ht="15.75" customHeight="1" thickBot="1">
      <c r="B24" s="355" t="s">
        <v>105</v>
      </c>
      <c r="C24" s="369"/>
      <c r="D24" s="369"/>
      <c r="E24" s="369"/>
    </row>
    <row r="25" spans="2:8" ht="13.5" thickBot="1">
      <c r="B25" s="85"/>
      <c r="C25" s="5" t="s">
        <v>2</v>
      </c>
      <c r="D25" s="256" t="s">
        <v>262</v>
      </c>
      <c r="E25" s="223" t="s">
        <v>260</v>
      </c>
    </row>
    <row r="26" spans="2:8">
      <c r="B26" s="92" t="s">
        <v>15</v>
      </c>
      <c r="C26" s="93" t="s">
        <v>16</v>
      </c>
      <c r="D26" s="284">
        <v>12871536.52</v>
      </c>
      <c r="E26" s="206">
        <f>D21</f>
        <v>11648820.9</v>
      </c>
    </row>
    <row r="27" spans="2:8">
      <c r="B27" s="9" t="s">
        <v>17</v>
      </c>
      <c r="C27" s="10" t="s">
        <v>111</v>
      </c>
      <c r="D27" s="285">
        <v>-1891513.71</v>
      </c>
      <c r="E27" s="240">
        <v>-1188505.6000000001</v>
      </c>
      <c r="F27" s="70"/>
    </row>
    <row r="28" spans="2:8">
      <c r="B28" s="9" t="s">
        <v>18</v>
      </c>
      <c r="C28" s="10" t="s">
        <v>19</v>
      </c>
      <c r="D28" s="285">
        <v>45980.13</v>
      </c>
      <c r="E28" s="241">
        <v>84471.26999999999</v>
      </c>
      <c r="F28" s="70"/>
    </row>
    <row r="29" spans="2:8">
      <c r="B29" s="101" t="s">
        <v>4</v>
      </c>
      <c r="C29" s="6" t="s">
        <v>20</v>
      </c>
      <c r="D29" s="286"/>
      <c r="E29" s="242"/>
      <c r="F29" s="70"/>
    </row>
    <row r="30" spans="2:8">
      <c r="B30" s="101" t="s">
        <v>6</v>
      </c>
      <c r="C30" s="6" t="s">
        <v>21</v>
      </c>
      <c r="D30" s="286"/>
      <c r="E30" s="242"/>
      <c r="F30" s="70"/>
    </row>
    <row r="31" spans="2:8">
      <c r="B31" s="101" t="s">
        <v>8</v>
      </c>
      <c r="C31" s="6" t="s">
        <v>22</v>
      </c>
      <c r="D31" s="286">
        <v>45980.13</v>
      </c>
      <c r="E31" s="242">
        <v>84471.26999999999</v>
      </c>
      <c r="F31" s="70"/>
    </row>
    <row r="32" spans="2:8">
      <c r="B32" s="89" t="s">
        <v>23</v>
      </c>
      <c r="C32" s="11" t="s">
        <v>24</v>
      </c>
      <c r="D32" s="285">
        <v>1937493.8399999999</v>
      </c>
      <c r="E32" s="241">
        <v>1272976.8700000001</v>
      </c>
      <c r="F32" s="70"/>
    </row>
    <row r="33" spans="2:6">
      <c r="B33" s="101" t="s">
        <v>4</v>
      </c>
      <c r="C33" s="6" t="s">
        <v>25</v>
      </c>
      <c r="D33" s="286">
        <v>1753227.92</v>
      </c>
      <c r="E33" s="242">
        <v>1066901.73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42356.7</v>
      </c>
      <c r="E35" s="242">
        <v>33148.080000000002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101875.04</v>
      </c>
      <c r="E37" s="242">
        <v>113442.86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40034.18</v>
      </c>
      <c r="E39" s="243">
        <v>59484.2</v>
      </c>
      <c r="F39" s="70"/>
    </row>
    <row r="40" spans="2:6" ht="13.5" thickBot="1">
      <c r="B40" s="94" t="s">
        <v>35</v>
      </c>
      <c r="C40" s="95" t="s">
        <v>36</v>
      </c>
      <c r="D40" s="288">
        <v>-634932.89</v>
      </c>
      <c r="E40" s="245">
        <v>1489976.86</v>
      </c>
    </row>
    <row r="41" spans="2:6" ht="13.5" thickBot="1">
      <c r="B41" s="96" t="s">
        <v>37</v>
      </c>
      <c r="C41" s="97" t="s">
        <v>38</v>
      </c>
      <c r="D41" s="289">
        <v>10345089.919999998</v>
      </c>
      <c r="E41" s="145">
        <f>E26+E27+E40</f>
        <v>11950292.16</v>
      </c>
      <c r="F41" s="74"/>
    </row>
    <row r="42" spans="2:6">
      <c r="B42" s="90"/>
      <c r="C42" s="90"/>
      <c r="D42" s="91"/>
      <c r="E42" s="23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84057.901100000003</v>
      </c>
      <c r="E47" s="300">
        <v>64648.942900000002</v>
      </c>
    </row>
    <row r="48" spans="2:6">
      <c r="B48" s="120" t="s">
        <v>6</v>
      </c>
      <c r="C48" s="22" t="s">
        <v>41</v>
      </c>
      <c r="D48" s="299">
        <v>71199.510500000004</v>
      </c>
      <c r="E48" s="310">
        <v>58540.6129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153.12700000000001</v>
      </c>
      <c r="E50" s="300">
        <v>180.1858</v>
      </c>
    </row>
    <row r="51" spans="2:5">
      <c r="B51" s="99" t="s">
        <v>6</v>
      </c>
      <c r="C51" s="15" t="s">
        <v>114</v>
      </c>
      <c r="D51" s="299">
        <v>108.3224</v>
      </c>
      <c r="E51" s="249">
        <v>180.1858</v>
      </c>
    </row>
    <row r="52" spans="2:5" ht="12" customHeight="1">
      <c r="B52" s="99" t="s">
        <v>8</v>
      </c>
      <c r="C52" s="15" t="s">
        <v>115</v>
      </c>
      <c r="D52" s="299">
        <v>158.6712</v>
      </c>
      <c r="E52" s="249">
        <v>204.4384</v>
      </c>
    </row>
    <row r="53" spans="2:5" ht="13.5" thickBot="1">
      <c r="B53" s="100" t="s">
        <v>9</v>
      </c>
      <c r="C53" s="17" t="s">
        <v>41</v>
      </c>
      <c r="D53" s="297">
        <v>145.2972</v>
      </c>
      <c r="E53" s="246">
        <v>204.13679999999999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11951368.170000002</v>
      </c>
      <c r="E58" s="31">
        <f>D58/E21</f>
        <v>1.0000900404764665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4" customHeight="1">
      <c r="B60" s="14" t="s">
        <v>6</v>
      </c>
      <c r="C60" s="15" t="s">
        <v>45</v>
      </c>
      <c r="D60" s="75">
        <v>0</v>
      </c>
      <c r="E60" s="76">
        <v>0</v>
      </c>
    </row>
    <row r="61" spans="2:5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0</v>
      </c>
      <c r="E62" s="76">
        <v>0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306">
        <f>11862639.89-220240.78</f>
        <v>11642399.110000001</v>
      </c>
      <c r="E64" s="78">
        <f>D64/E21</f>
        <v>0.97423552111716738</v>
      </c>
    </row>
    <row r="65" spans="2:5">
      <c r="B65" s="21" t="s">
        <v>33</v>
      </c>
      <c r="C65" s="22" t="s">
        <v>118</v>
      </c>
      <c r="D65" s="77">
        <v>0</v>
      </c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322">
        <v>308969.06</v>
      </c>
      <c r="E69" s="76">
        <f>D69/E21</f>
        <v>2.5854519359299073E-2</v>
      </c>
    </row>
    <row r="70" spans="2:5">
      <c r="B70" s="109" t="s">
        <v>58</v>
      </c>
      <c r="C70" s="110" t="s">
        <v>59</v>
      </c>
      <c r="D70" s="75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248.19</v>
      </c>
      <c r="E72" s="116">
        <f>D72/E21</f>
        <v>2.0768529896761952E-5</v>
      </c>
    </row>
    <row r="73" spans="2:5">
      <c r="B73" s="23" t="s">
        <v>62</v>
      </c>
      <c r="C73" s="24" t="s">
        <v>65</v>
      </c>
      <c r="D73" s="25">
        <f>E17</f>
        <v>1324.2</v>
      </c>
      <c r="E73" s="26">
        <f>D73/E21</f>
        <v>1.1080900636323855E-4</v>
      </c>
    </row>
    <row r="74" spans="2:5">
      <c r="B74" s="117" t="s">
        <v>64</v>
      </c>
      <c r="C74" s="118" t="s">
        <v>66</v>
      </c>
      <c r="D74" s="119">
        <f>D58+D71+D72-D73</f>
        <v>11950292.160000002</v>
      </c>
      <c r="E74" s="65">
        <f>E58+E72-E73</f>
        <v>1</v>
      </c>
    </row>
    <row r="75" spans="2:5">
      <c r="B75" s="14" t="s">
        <v>4</v>
      </c>
      <c r="C75" s="15" t="s">
        <v>67</v>
      </c>
      <c r="D75" s="75">
        <f>D74-D76</f>
        <v>10145382.940000001</v>
      </c>
      <c r="E75" s="76">
        <f>D75/E21</f>
        <v>0.84896526412622864</v>
      </c>
    </row>
    <row r="76" spans="2:5">
      <c r="B76" s="14" t="s">
        <v>6</v>
      </c>
      <c r="C76" s="15" t="s">
        <v>119</v>
      </c>
      <c r="D76" s="75">
        <v>1804909.22</v>
      </c>
      <c r="E76" s="76">
        <f>D76/E21</f>
        <v>0.15103473587377128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7" right="0.75" top="0.6" bottom="0.32" header="0.5" footer="0.5"/>
  <pageSetup paperSize="9"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144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1549151.09</v>
      </c>
      <c r="E11" s="211">
        <f>SUM(E12:E14)</f>
        <v>1333778.3699999999</v>
      </c>
    </row>
    <row r="12" spans="2:7">
      <c r="B12" s="103" t="s">
        <v>4</v>
      </c>
      <c r="C12" s="188" t="s">
        <v>5</v>
      </c>
      <c r="D12" s="271">
        <f>1522776.77+26374.32</f>
        <v>1549151.09</v>
      </c>
      <c r="E12" s="216">
        <f>1255423.23+77854.26</f>
        <v>1333277.49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/>
      <c r="E14" s="217">
        <f>E15</f>
        <v>500.88</v>
      </c>
    </row>
    <row r="15" spans="2:7">
      <c r="B15" s="103" t="s">
        <v>106</v>
      </c>
      <c r="C15" s="188" t="s">
        <v>11</v>
      </c>
      <c r="D15" s="272"/>
      <c r="E15" s="217">
        <v>500.88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85.24</v>
      </c>
      <c r="E17" s="219">
        <f>E18</f>
        <v>243</v>
      </c>
    </row>
    <row r="18" spans="2:6">
      <c r="B18" s="103" t="s">
        <v>4</v>
      </c>
      <c r="C18" s="188" t="s">
        <v>11</v>
      </c>
      <c r="D18" s="273">
        <v>85.24</v>
      </c>
      <c r="E18" s="218">
        <v>243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1549065.85</v>
      </c>
      <c r="E21" s="145">
        <f>E11-E17</f>
        <v>1333535.3699999999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318">
        <v>1748732.6400000001</v>
      </c>
      <c r="E26" s="206">
        <f>D21</f>
        <v>1549065.85</v>
      </c>
    </row>
    <row r="27" spans="2:6">
      <c r="B27" s="9" t="s">
        <v>17</v>
      </c>
      <c r="C27" s="10" t="s">
        <v>111</v>
      </c>
      <c r="D27" s="319">
        <v>-203919.28000000003</v>
      </c>
      <c r="E27" s="240">
        <v>-328176.94</v>
      </c>
      <c r="F27" s="70"/>
    </row>
    <row r="28" spans="2:6">
      <c r="B28" s="9" t="s">
        <v>18</v>
      </c>
      <c r="C28" s="10" t="s">
        <v>19</v>
      </c>
      <c r="D28" s="319">
        <v>0</v>
      </c>
      <c r="E28" s="241">
        <v>453.63</v>
      </c>
      <c r="F28" s="70"/>
    </row>
    <row r="29" spans="2:6">
      <c r="B29" s="101" t="s">
        <v>4</v>
      </c>
      <c r="C29" s="6" t="s">
        <v>20</v>
      </c>
      <c r="D29" s="271"/>
      <c r="E29" s="242"/>
      <c r="F29" s="70"/>
    </row>
    <row r="30" spans="2:6">
      <c r="B30" s="101" t="s">
        <v>6</v>
      </c>
      <c r="C30" s="6" t="s">
        <v>21</v>
      </c>
      <c r="D30" s="271"/>
      <c r="E30" s="242"/>
      <c r="F30" s="70"/>
    </row>
    <row r="31" spans="2:6">
      <c r="B31" s="101" t="s">
        <v>8</v>
      </c>
      <c r="C31" s="6" t="s">
        <v>22</v>
      </c>
      <c r="D31" s="271"/>
      <c r="E31" s="242">
        <v>453.63</v>
      </c>
      <c r="F31" s="70"/>
    </row>
    <row r="32" spans="2:6">
      <c r="B32" s="89" t="s">
        <v>23</v>
      </c>
      <c r="C32" s="11" t="s">
        <v>24</v>
      </c>
      <c r="D32" s="319">
        <v>203919.28000000003</v>
      </c>
      <c r="E32" s="241">
        <v>328630.57</v>
      </c>
      <c r="F32" s="70"/>
    </row>
    <row r="33" spans="2:6">
      <c r="B33" s="101" t="s">
        <v>4</v>
      </c>
      <c r="C33" s="6" t="s">
        <v>25</v>
      </c>
      <c r="D33" s="271">
        <v>180583.98</v>
      </c>
      <c r="E33" s="242">
        <v>289326.76</v>
      </c>
      <c r="F33" s="70"/>
    </row>
    <row r="34" spans="2:6">
      <c r="B34" s="101" t="s">
        <v>6</v>
      </c>
      <c r="C34" s="6" t="s">
        <v>26</v>
      </c>
      <c r="D34" s="271"/>
      <c r="E34" s="242"/>
      <c r="F34" s="70"/>
    </row>
    <row r="35" spans="2:6">
      <c r="B35" s="101" t="s">
        <v>8</v>
      </c>
      <c r="C35" s="6" t="s">
        <v>27</v>
      </c>
      <c r="D35" s="271">
        <v>9442.66</v>
      </c>
      <c r="E35" s="242">
        <v>2063.52</v>
      </c>
      <c r="F35" s="70"/>
    </row>
    <row r="36" spans="2:6">
      <c r="B36" s="101" t="s">
        <v>9</v>
      </c>
      <c r="C36" s="6" t="s">
        <v>28</v>
      </c>
      <c r="D36" s="271"/>
      <c r="E36" s="242"/>
      <c r="F36" s="70"/>
    </row>
    <row r="37" spans="2:6" ht="25.5">
      <c r="B37" s="101" t="s">
        <v>29</v>
      </c>
      <c r="C37" s="6" t="s">
        <v>30</v>
      </c>
      <c r="D37" s="271">
        <v>13892.64</v>
      </c>
      <c r="E37" s="242">
        <v>13677.22</v>
      </c>
      <c r="F37" s="70"/>
    </row>
    <row r="38" spans="2:6">
      <c r="B38" s="101" t="s">
        <v>31</v>
      </c>
      <c r="C38" s="6" t="s">
        <v>32</v>
      </c>
      <c r="D38" s="271"/>
      <c r="E38" s="242"/>
      <c r="F38" s="70"/>
    </row>
    <row r="39" spans="2:6">
      <c r="B39" s="102" t="s">
        <v>33</v>
      </c>
      <c r="C39" s="12" t="s">
        <v>34</v>
      </c>
      <c r="D39" s="320"/>
      <c r="E39" s="243">
        <v>23563.07</v>
      </c>
      <c r="F39" s="70"/>
    </row>
    <row r="40" spans="2:6" ht="13.5" thickBot="1">
      <c r="B40" s="94" t="s">
        <v>35</v>
      </c>
      <c r="C40" s="95" t="s">
        <v>36</v>
      </c>
      <c r="D40" s="321">
        <v>-211075.52</v>
      </c>
      <c r="E40" s="245">
        <v>112646.46</v>
      </c>
    </row>
    <row r="41" spans="2:6" ht="13.5" thickBot="1">
      <c r="B41" s="96" t="s">
        <v>37</v>
      </c>
      <c r="C41" s="97" t="s">
        <v>38</v>
      </c>
      <c r="D41" s="276">
        <v>1333737.8400000001</v>
      </c>
      <c r="E41" s="145">
        <f>E26+E27+E40</f>
        <v>1333535.3700000001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0">
        <v>14932.1675</v>
      </c>
      <c r="E47" s="300">
        <v>12018.281300000001</v>
      </c>
    </row>
    <row r="48" spans="2:6">
      <c r="B48" s="120" t="s">
        <v>6</v>
      </c>
      <c r="C48" s="22" t="s">
        <v>41</v>
      </c>
      <c r="D48" s="290">
        <v>12994.743899999999</v>
      </c>
      <c r="E48" s="310">
        <v>9574.3246999999992</v>
      </c>
    </row>
    <row r="49" spans="2:5">
      <c r="B49" s="117" t="s">
        <v>23</v>
      </c>
      <c r="C49" s="121" t="s">
        <v>113</v>
      </c>
      <c r="D49" s="292"/>
      <c r="E49" s="122"/>
    </row>
    <row r="50" spans="2:5">
      <c r="B50" s="99" t="s">
        <v>4</v>
      </c>
      <c r="C50" s="15" t="s">
        <v>40</v>
      </c>
      <c r="D50" s="290">
        <v>117.1118</v>
      </c>
      <c r="E50" s="300">
        <v>128.89250000000001</v>
      </c>
    </row>
    <row r="51" spans="2:5">
      <c r="B51" s="99" t="s">
        <v>6</v>
      </c>
      <c r="C51" s="15" t="s">
        <v>114</v>
      </c>
      <c r="D51" s="290">
        <v>79.812299999999993</v>
      </c>
      <c r="E51" s="249">
        <v>127.547</v>
      </c>
    </row>
    <row r="52" spans="2:5">
      <c r="B52" s="99" t="s">
        <v>8</v>
      </c>
      <c r="C52" s="15" t="s">
        <v>115</v>
      </c>
      <c r="D52" s="290">
        <v>119.30629999999999</v>
      </c>
      <c r="E52" s="249">
        <v>141.7037</v>
      </c>
    </row>
    <row r="53" spans="2:5" ht="12.75" customHeight="1" thickBot="1">
      <c r="B53" s="100" t="s">
        <v>9</v>
      </c>
      <c r="C53" s="17" t="s">
        <v>41</v>
      </c>
      <c r="D53" s="297">
        <v>102.6367</v>
      </c>
      <c r="E53" s="246">
        <v>139.2824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1333277.49</v>
      </c>
      <c r="E58" s="31">
        <f>D58/E21</f>
        <v>0.9998066193024937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5.5">
      <c r="B60" s="14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0</v>
      </c>
      <c r="E62" s="76">
        <v>0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306">
        <v>1255423.23</v>
      </c>
      <c r="E64" s="78">
        <f>D64/E21</f>
        <v>0.94142477075804898</v>
      </c>
    </row>
    <row r="65" spans="2:5">
      <c r="B65" s="21" t="s">
        <v>33</v>
      </c>
      <c r="C65" s="22" t="s">
        <v>118</v>
      </c>
      <c r="D65" s="77"/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322">
        <v>77854.259999999995</v>
      </c>
      <c r="E69" s="76">
        <f>D69/E21</f>
        <v>5.8381848544444684E-2</v>
      </c>
    </row>
    <row r="70" spans="2:5">
      <c r="B70" s="109" t="s">
        <v>58</v>
      </c>
      <c r="C70" s="110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f>D71/E21</f>
        <v>0</v>
      </c>
    </row>
    <row r="72" spans="2:5">
      <c r="B72" s="113" t="s">
        <v>60</v>
      </c>
      <c r="C72" s="114" t="s">
        <v>63</v>
      </c>
      <c r="D72" s="115">
        <f>E14</f>
        <v>500.88</v>
      </c>
      <c r="E72" s="116">
        <f>D72/E21</f>
        <v>3.7560308580341593E-4</v>
      </c>
    </row>
    <row r="73" spans="2:5">
      <c r="B73" s="23" t="s">
        <v>62</v>
      </c>
      <c r="C73" s="24" t="s">
        <v>65</v>
      </c>
      <c r="D73" s="25">
        <f>E17</f>
        <v>243</v>
      </c>
      <c r="E73" s="26">
        <f>D73/E21</f>
        <v>1.8222238829705733E-4</v>
      </c>
    </row>
    <row r="74" spans="2:5">
      <c r="B74" s="117" t="s">
        <v>64</v>
      </c>
      <c r="C74" s="118" t="s">
        <v>66</v>
      </c>
      <c r="D74" s="119">
        <f>D58-D73+D71+D72</f>
        <v>1333535.3699999999</v>
      </c>
      <c r="E74" s="65">
        <f>E58+E72-E73</f>
        <v>1</v>
      </c>
    </row>
    <row r="75" spans="2:5">
      <c r="B75" s="14" t="s">
        <v>4</v>
      </c>
      <c r="C75" s="15" t="s">
        <v>67</v>
      </c>
      <c r="D75" s="75">
        <f>D74-D76</f>
        <v>991625.72999999986</v>
      </c>
      <c r="E75" s="76">
        <f>D75/E21</f>
        <v>0.74360662064778971</v>
      </c>
    </row>
    <row r="76" spans="2:5">
      <c r="B76" s="14" t="s">
        <v>6</v>
      </c>
      <c r="C76" s="15" t="s">
        <v>119</v>
      </c>
      <c r="D76" s="75">
        <v>341909.64</v>
      </c>
      <c r="E76" s="76">
        <f>D76/E21</f>
        <v>0.25639337935221024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I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 customHeight="1">
      <c r="B6" s="354" t="s">
        <v>145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4235605.2299999995</v>
      </c>
      <c r="E11" s="211">
        <f>SUM(E12:E14)</f>
        <v>3564732.84</v>
      </c>
    </row>
    <row r="12" spans="2:7">
      <c r="B12" s="103" t="s">
        <v>4</v>
      </c>
      <c r="C12" s="188" t="s">
        <v>5</v>
      </c>
      <c r="D12" s="271">
        <f>4033359.8+202245.43</f>
        <v>4235605.2299999995</v>
      </c>
      <c r="E12" s="216">
        <f>3363699.54+200761.76</f>
        <v>3564461.3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/>
      <c r="E14" s="217">
        <f>E15</f>
        <v>271.54000000000002</v>
      </c>
    </row>
    <row r="15" spans="2:7">
      <c r="B15" s="103" t="s">
        <v>106</v>
      </c>
      <c r="C15" s="188" t="s">
        <v>11</v>
      </c>
      <c r="D15" s="272"/>
      <c r="E15" s="217">
        <v>271.54000000000002</v>
      </c>
    </row>
    <row r="16" spans="2:7">
      <c r="B16" s="104" t="s">
        <v>107</v>
      </c>
      <c r="C16" s="189" t="s">
        <v>12</v>
      </c>
      <c r="D16" s="273"/>
      <c r="E16" s="218"/>
    </row>
    <row r="17" spans="2:9">
      <c r="B17" s="9" t="s">
        <v>13</v>
      </c>
      <c r="C17" s="190" t="s">
        <v>65</v>
      </c>
      <c r="D17" s="274">
        <f>D18</f>
        <v>222.99</v>
      </c>
      <c r="E17" s="219">
        <f>E18</f>
        <v>143737.06</v>
      </c>
    </row>
    <row r="18" spans="2:9">
      <c r="B18" s="103" t="s">
        <v>4</v>
      </c>
      <c r="C18" s="188" t="s">
        <v>11</v>
      </c>
      <c r="D18" s="273">
        <v>222.99</v>
      </c>
      <c r="E18" s="218">
        <v>143737.06</v>
      </c>
    </row>
    <row r="19" spans="2:9" ht="15" customHeight="1">
      <c r="B19" s="103" t="s">
        <v>6</v>
      </c>
      <c r="C19" s="188" t="s">
        <v>108</v>
      </c>
      <c r="D19" s="272"/>
      <c r="E19" s="217"/>
    </row>
    <row r="20" spans="2:9" ht="13.5" thickBot="1">
      <c r="B20" s="105" t="s">
        <v>8</v>
      </c>
      <c r="C20" s="68" t="s">
        <v>14</v>
      </c>
      <c r="D20" s="275"/>
      <c r="E20" s="212"/>
    </row>
    <row r="21" spans="2:9" ht="13.5" thickBot="1">
      <c r="B21" s="362" t="s">
        <v>110</v>
      </c>
      <c r="C21" s="363"/>
      <c r="D21" s="276">
        <f>D11-D17</f>
        <v>4235382.2399999993</v>
      </c>
      <c r="E21" s="145">
        <f>E11-E17</f>
        <v>3420995.78</v>
      </c>
      <c r="F21" s="74"/>
      <c r="I21" s="166"/>
    </row>
    <row r="22" spans="2:9">
      <c r="B22" s="3"/>
      <c r="C22" s="7"/>
      <c r="D22" s="8"/>
      <c r="E22" s="8"/>
    </row>
    <row r="23" spans="2:9" ht="13.5">
      <c r="B23" s="356" t="s">
        <v>104</v>
      </c>
      <c r="C23" s="368"/>
      <c r="D23" s="368"/>
      <c r="E23" s="368"/>
    </row>
    <row r="24" spans="2:9" ht="15.75" customHeight="1" thickBot="1">
      <c r="B24" s="355" t="s">
        <v>105</v>
      </c>
      <c r="C24" s="369"/>
      <c r="D24" s="369"/>
      <c r="E24" s="369"/>
    </row>
    <row r="25" spans="2:9" ht="13.5" thickBot="1">
      <c r="B25" s="85"/>
      <c r="C25" s="5" t="s">
        <v>2</v>
      </c>
      <c r="D25" s="256" t="s">
        <v>262</v>
      </c>
      <c r="E25" s="223" t="s">
        <v>260</v>
      </c>
    </row>
    <row r="26" spans="2:9">
      <c r="B26" s="92" t="s">
        <v>15</v>
      </c>
      <c r="C26" s="93" t="s">
        <v>16</v>
      </c>
      <c r="D26" s="284">
        <v>6713037.2700000005</v>
      </c>
      <c r="E26" s="206">
        <f>D21</f>
        <v>4235382.2399999993</v>
      </c>
    </row>
    <row r="27" spans="2:9">
      <c r="B27" s="9" t="s">
        <v>17</v>
      </c>
      <c r="C27" s="10" t="s">
        <v>111</v>
      </c>
      <c r="D27" s="285">
        <v>-1256066.6500000001</v>
      </c>
      <c r="E27" s="240">
        <v>-744726.2</v>
      </c>
      <c r="F27" s="70"/>
    </row>
    <row r="28" spans="2:9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9">
      <c r="B29" s="101" t="s">
        <v>4</v>
      </c>
      <c r="C29" s="6" t="s">
        <v>20</v>
      </c>
      <c r="D29" s="286"/>
      <c r="E29" s="242"/>
      <c r="F29" s="70"/>
    </row>
    <row r="30" spans="2:9">
      <c r="B30" s="101" t="s">
        <v>6</v>
      </c>
      <c r="C30" s="6" t="s">
        <v>21</v>
      </c>
      <c r="D30" s="286"/>
      <c r="E30" s="242"/>
      <c r="F30" s="70"/>
    </row>
    <row r="31" spans="2:9">
      <c r="B31" s="101" t="s">
        <v>8</v>
      </c>
      <c r="C31" s="6" t="s">
        <v>22</v>
      </c>
      <c r="D31" s="286"/>
      <c r="E31" s="242"/>
      <c r="F31" s="70"/>
    </row>
    <row r="32" spans="2:9">
      <c r="B32" s="89" t="s">
        <v>23</v>
      </c>
      <c r="C32" s="11" t="s">
        <v>24</v>
      </c>
      <c r="D32" s="285">
        <v>1256066.6500000001</v>
      </c>
      <c r="E32" s="241">
        <v>744726.2</v>
      </c>
      <c r="F32" s="70"/>
    </row>
    <row r="33" spans="2:6">
      <c r="B33" s="101" t="s">
        <v>4</v>
      </c>
      <c r="C33" s="6" t="s">
        <v>25</v>
      </c>
      <c r="D33" s="286">
        <v>1188667.01</v>
      </c>
      <c r="E33" s="242">
        <v>630095.12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16768.810000000001</v>
      </c>
      <c r="E35" s="242">
        <v>10634.88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50630.83</v>
      </c>
      <c r="E37" s="242">
        <v>36878.35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>
        <v>67117.850000000006</v>
      </c>
      <c r="F39" s="70"/>
    </row>
    <row r="40" spans="2:6" ht="13.5" thickBot="1">
      <c r="B40" s="94" t="s">
        <v>35</v>
      </c>
      <c r="C40" s="95" t="s">
        <v>36</v>
      </c>
      <c r="D40" s="288">
        <v>-546055.68000000005</v>
      </c>
      <c r="E40" s="245">
        <v>-69660.259999999995</v>
      </c>
    </row>
    <row r="41" spans="2:6" ht="13.5" thickBot="1">
      <c r="B41" s="96" t="s">
        <v>37</v>
      </c>
      <c r="C41" s="97" t="s">
        <v>38</v>
      </c>
      <c r="D41" s="289">
        <v>4910914.9400000004</v>
      </c>
      <c r="E41" s="145">
        <f>E26+E27+E40</f>
        <v>3420995.7799999993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57812.837899999999</v>
      </c>
      <c r="E47" s="300">
        <v>37397.4015</v>
      </c>
    </row>
    <row r="48" spans="2:6">
      <c r="B48" s="120" t="s">
        <v>6</v>
      </c>
      <c r="C48" s="22" t="s">
        <v>41</v>
      </c>
      <c r="D48" s="299">
        <v>46408.108699999997</v>
      </c>
      <c r="E48" s="310">
        <v>30719.782599999999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116.11669999999999</v>
      </c>
      <c r="E50" s="300">
        <v>113.2534</v>
      </c>
    </row>
    <row r="51" spans="2:5">
      <c r="B51" s="99" t="s">
        <v>6</v>
      </c>
      <c r="C51" s="15" t="s">
        <v>114</v>
      </c>
      <c r="D51" s="299">
        <v>96.997500000000002</v>
      </c>
      <c r="E51" s="249">
        <v>109.91079999999999</v>
      </c>
    </row>
    <row r="52" spans="2:5">
      <c r="B52" s="99" t="s">
        <v>8</v>
      </c>
      <c r="C52" s="15" t="s">
        <v>115</v>
      </c>
      <c r="D52" s="299">
        <v>116.8227</v>
      </c>
      <c r="E52" s="249">
        <v>113.5086</v>
      </c>
    </row>
    <row r="53" spans="2:5" ht="13.5" customHeight="1" thickBot="1">
      <c r="B53" s="100" t="s">
        <v>9</v>
      </c>
      <c r="C53" s="17" t="s">
        <v>41</v>
      </c>
      <c r="D53" s="297">
        <v>105.8202</v>
      </c>
      <c r="E53" s="246">
        <v>111.3613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3564461.3</v>
      </c>
      <c r="E58" s="31">
        <f>D58/E21</f>
        <v>1.0419367719886519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306">
        <v>3363699.54</v>
      </c>
      <c r="E64" s="78">
        <f>D64/E21</f>
        <v>0.98325158998003803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322">
        <v>200761.76</v>
      </c>
      <c r="E69" s="76">
        <f>D69/E21</f>
        <v>5.8685182008613883E-2</v>
      </c>
    </row>
    <row r="70" spans="2:5">
      <c r="B70" s="126" t="s">
        <v>58</v>
      </c>
      <c r="C70" s="110" t="s">
        <v>59</v>
      </c>
      <c r="D70" s="213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0</v>
      </c>
      <c r="E71" s="65">
        <f>D71/E21</f>
        <v>0</v>
      </c>
    </row>
    <row r="72" spans="2:5">
      <c r="B72" s="128" t="s">
        <v>60</v>
      </c>
      <c r="C72" s="114" t="s">
        <v>63</v>
      </c>
      <c r="D72" s="115">
        <f>E14</f>
        <v>271.54000000000002</v>
      </c>
      <c r="E72" s="116">
        <f>D72/E21</f>
        <v>7.937454982771129E-5</v>
      </c>
    </row>
    <row r="73" spans="2:5">
      <c r="B73" s="129" t="s">
        <v>62</v>
      </c>
      <c r="C73" s="24" t="s">
        <v>65</v>
      </c>
      <c r="D73" s="25">
        <f>E17</f>
        <v>143737.06</v>
      </c>
      <c r="E73" s="26">
        <f>D73/E21</f>
        <v>4.2016146538479508E-2</v>
      </c>
    </row>
    <row r="74" spans="2:5">
      <c r="B74" s="127" t="s">
        <v>64</v>
      </c>
      <c r="C74" s="118" t="s">
        <v>66</v>
      </c>
      <c r="D74" s="119">
        <f>D58-D73+D71+D72</f>
        <v>3420995.78</v>
      </c>
      <c r="E74" s="65">
        <f>E58+E72-E73+E71</f>
        <v>1.0000000000000002</v>
      </c>
    </row>
    <row r="75" spans="2:5">
      <c r="B75" s="99" t="s">
        <v>4</v>
      </c>
      <c r="C75" s="15" t="s">
        <v>67</v>
      </c>
      <c r="D75" s="75">
        <f>D74</f>
        <v>3420995.78</v>
      </c>
      <c r="E75" s="76">
        <f>D75/E21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f>D76/E21</f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5.285156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85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260"/>
      <c r="C10" s="198" t="s">
        <v>2</v>
      </c>
      <c r="D10" s="230" t="s">
        <v>255</v>
      </c>
      <c r="E10" s="229" t="s">
        <v>260</v>
      </c>
    </row>
    <row r="11" spans="2:7">
      <c r="B11" s="87" t="s">
        <v>3</v>
      </c>
      <c r="C11" s="187" t="s">
        <v>109</v>
      </c>
      <c r="D11" s="270">
        <v>194154936.51000002</v>
      </c>
      <c r="E11" s="211">
        <f>SUM(E12:E14)</f>
        <v>208142113.58000004</v>
      </c>
    </row>
    <row r="12" spans="2:7">
      <c r="B12" s="167" t="s">
        <v>4</v>
      </c>
      <c r="C12" s="214" t="s">
        <v>5</v>
      </c>
      <c r="D12" s="271">
        <v>193543748.86000001</v>
      </c>
      <c r="E12" s="216">
        <f>214170569.36+159203.4-6291107.42</f>
        <v>208038665.34000003</v>
      </c>
    </row>
    <row r="13" spans="2:7">
      <c r="B13" s="167" t="s">
        <v>6</v>
      </c>
      <c r="C13" s="214" t="s">
        <v>7</v>
      </c>
      <c r="D13" s="272"/>
      <c r="E13" s="217"/>
    </row>
    <row r="14" spans="2:7">
      <c r="B14" s="167" t="s">
        <v>8</v>
      </c>
      <c r="C14" s="214" t="s">
        <v>10</v>
      </c>
      <c r="D14" s="272">
        <v>611187.65</v>
      </c>
      <c r="E14" s="217">
        <f>E15</f>
        <v>103448.24</v>
      </c>
    </row>
    <row r="15" spans="2:7">
      <c r="B15" s="167" t="s">
        <v>106</v>
      </c>
      <c r="C15" s="214" t="s">
        <v>11</v>
      </c>
      <c r="D15" s="272">
        <v>611187.65</v>
      </c>
      <c r="E15" s="217">
        <v>103448.24</v>
      </c>
    </row>
    <row r="16" spans="2:7">
      <c r="B16" s="170" t="s">
        <v>107</v>
      </c>
      <c r="C16" s="215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v>250914.4</v>
      </c>
      <c r="E17" s="219">
        <f>E18</f>
        <v>263076.82</v>
      </c>
    </row>
    <row r="18" spans="2:6">
      <c r="B18" s="167" t="s">
        <v>4</v>
      </c>
      <c r="C18" s="214" t="s">
        <v>11</v>
      </c>
      <c r="D18" s="273">
        <v>250914.4</v>
      </c>
      <c r="E18" s="218">
        <v>263076.82</v>
      </c>
    </row>
    <row r="19" spans="2:6" ht="15" customHeight="1">
      <c r="B19" s="167" t="s">
        <v>6</v>
      </c>
      <c r="C19" s="214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193904022.11000001</v>
      </c>
      <c r="E21" s="145">
        <f>E11-E17</f>
        <v>207879036.76000005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260"/>
      <c r="C25" s="174" t="s">
        <v>2</v>
      </c>
      <c r="D25" s="69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170248622.74000001</v>
      </c>
      <c r="E26" s="206">
        <f>D21</f>
        <v>193904022.11000001</v>
      </c>
    </row>
    <row r="27" spans="2:6">
      <c r="B27" s="9" t="s">
        <v>17</v>
      </c>
      <c r="C27" s="10" t="s">
        <v>111</v>
      </c>
      <c r="D27" s="285">
        <v>-3249987.7800000012</v>
      </c>
      <c r="E27" s="240">
        <v>-305320.71000000089</v>
      </c>
      <c r="F27" s="70"/>
    </row>
    <row r="28" spans="2:6">
      <c r="B28" s="9" t="s">
        <v>18</v>
      </c>
      <c r="C28" s="10" t="s">
        <v>19</v>
      </c>
      <c r="D28" s="285">
        <v>10504971.419999998</v>
      </c>
      <c r="E28" s="241">
        <v>12357460.469999999</v>
      </c>
      <c r="F28" s="70"/>
    </row>
    <row r="29" spans="2:6">
      <c r="B29" s="175" t="s">
        <v>4</v>
      </c>
      <c r="C29" s="168" t="s">
        <v>20</v>
      </c>
      <c r="D29" s="286">
        <v>9744527.7399999984</v>
      </c>
      <c r="E29" s="242">
        <v>10819160.41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760443.68</v>
      </c>
      <c r="E31" s="242">
        <v>1538300.06</v>
      </c>
      <c r="F31" s="70"/>
    </row>
    <row r="32" spans="2:6">
      <c r="B32" s="89" t="s">
        <v>23</v>
      </c>
      <c r="C32" s="11" t="s">
        <v>24</v>
      </c>
      <c r="D32" s="285">
        <v>13754959.199999999</v>
      </c>
      <c r="E32" s="241">
        <v>12662781.18</v>
      </c>
      <c r="F32" s="70"/>
    </row>
    <row r="33" spans="2:6">
      <c r="B33" s="175" t="s">
        <v>4</v>
      </c>
      <c r="C33" s="168" t="s">
        <v>25</v>
      </c>
      <c r="D33" s="286">
        <v>8735657.6099999994</v>
      </c>
      <c r="E33" s="242">
        <v>10193198.09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1889698.6199999999</v>
      </c>
      <c r="E35" s="242">
        <v>1774259.3800000001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55"/>
      <c r="E37" s="242"/>
      <c r="F37" s="70"/>
    </row>
    <row r="38" spans="2:6">
      <c r="B38" s="175" t="s">
        <v>31</v>
      </c>
      <c r="C38" s="168" t="s">
        <v>32</v>
      </c>
      <c r="D38" s="255"/>
      <c r="E38" s="242"/>
      <c r="F38" s="70"/>
    </row>
    <row r="39" spans="2:6">
      <c r="B39" s="176" t="s">
        <v>33</v>
      </c>
      <c r="C39" s="177" t="s">
        <v>34</v>
      </c>
      <c r="D39" s="287">
        <v>3129602.97</v>
      </c>
      <c r="E39" s="243">
        <v>695323.71</v>
      </c>
      <c r="F39" s="70"/>
    </row>
    <row r="40" spans="2:6" ht="13.5" thickBot="1">
      <c r="B40" s="94" t="s">
        <v>35</v>
      </c>
      <c r="C40" s="95" t="s">
        <v>36</v>
      </c>
      <c r="D40" s="288">
        <v>9607362.8399999999</v>
      </c>
      <c r="E40" s="245">
        <v>14280335.359999999</v>
      </c>
    </row>
    <row r="41" spans="2:6" ht="13.5" thickBot="1">
      <c r="B41" s="96" t="s">
        <v>37</v>
      </c>
      <c r="C41" s="97" t="s">
        <v>38</v>
      </c>
      <c r="D41" s="289">
        <v>176605997.80000001</v>
      </c>
      <c r="E41" s="145">
        <f>E26+E27+E40</f>
        <v>207879036.75999999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5.75" customHeight="1" thickBot="1">
      <c r="B44" s="355" t="s">
        <v>121</v>
      </c>
      <c r="C44" s="367"/>
      <c r="D44" s="367"/>
      <c r="E44" s="367"/>
    </row>
    <row r="45" spans="2:6" ht="13.5" thickBot="1">
      <c r="B45" s="253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0">
        <v>8775867.4966000002</v>
      </c>
      <c r="E47" s="291">
        <v>8524112.8409000002</v>
      </c>
    </row>
    <row r="48" spans="2:6">
      <c r="B48" s="180" t="s">
        <v>6</v>
      </c>
      <c r="C48" s="181" t="s">
        <v>41</v>
      </c>
      <c r="D48" s="290">
        <v>8617792.8936999999</v>
      </c>
      <c r="E48" s="291">
        <v>8529603.3508000001</v>
      </c>
    </row>
    <row r="49" spans="2:5">
      <c r="B49" s="117" t="s">
        <v>23</v>
      </c>
      <c r="C49" s="121" t="s">
        <v>113</v>
      </c>
      <c r="D49" s="292"/>
      <c r="E49" s="293"/>
    </row>
    <row r="50" spans="2:5">
      <c r="B50" s="178" t="s">
        <v>4</v>
      </c>
      <c r="C50" s="179" t="s">
        <v>40</v>
      </c>
      <c r="D50" s="290">
        <v>19.3996</v>
      </c>
      <c r="E50" s="294">
        <v>22.747700000000002</v>
      </c>
    </row>
    <row r="51" spans="2:5">
      <c r="B51" s="178" t="s">
        <v>6</v>
      </c>
      <c r="C51" s="179" t="s">
        <v>114</v>
      </c>
      <c r="D51" s="290">
        <v>17.285799999999998</v>
      </c>
      <c r="E51" s="295">
        <v>22.747699999999998</v>
      </c>
    </row>
    <row r="52" spans="2:5">
      <c r="B52" s="178" t="s">
        <v>8</v>
      </c>
      <c r="C52" s="179" t="s">
        <v>115</v>
      </c>
      <c r="D52" s="290">
        <v>20.769400000000001</v>
      </c>
      <c r="E52" s="296">
        <v>24.390599999999999</v>
      </c>
    </row>
    <row r="53" spans="2:5" ht="13.5" thickBot="1">
      <c r="B53" s="182" t="s">
        <v>9</v>
      </c>
      <c r="C53" s="183" t="s">
        <v>41</v>
      </c>
      <c r="D53" s="297">
        <v>20.493200000000002</v>
      </c>
      <c r="E53" s="246">
        <v>24.371500000000001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D64+D69</f>
        <v>208038665.34000003</v>
      </c>
      <c r="E58" s="31">
        <f>D58/E21</f>
        <v>1.0007678916666536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5.5">
      <c r="B60" s="14" t="s">
        <v>6</v>
      </c>
      <c r="C60" s="15" t="s">
        <v>45</v>
      </c>
      <c r="D60" s="75">
        <v>0</v>
      </c>
      <c r="E60" s="76">
        <v>0</v>
      </c>
    </row>
    <row r="61" spans="2:5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0</v>
      </c>
      <c r="E62" s="76">
        <v>0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77">
        <f>214170569.36-6291107.42</f>
        <v>207879461.94000003</v>
      </c>
      <c r="E64" s="78">
        <f>D64/E21</f>
        <v>1.0000020453240817</v>
      </c>
    </row>
    <row r="65" spans="2:5">
      <c r="B65" s="21" t="s">
        <v>33</v>
      </c>
      <c r="C65" s="22" t="s">
        <v>118</v>
      </c>
      <c r="D65" s="77">
        <v>0</v>
      </c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298">
        <v>159203.4</v>
      </c>
      <c r="E69" s="76">
        <f>D69/E21</f>
        <v>7.6584634257182501E-4</v>
      </c>
    </row>
    <row r="70" spans="2:5">
      <c r="B70" s="109" t="s">
        <v>58</v>
      </c>
      <c r="C70" s="110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103448.24</v>
      </c>
      <c r="E72" s="116">
        <f>D72/E21</f>
        <v>4.9763671033088719E-4</v>
      </c>
    </row>
    <row r="73" spans="2:5">
      <c r="B73" s="23" t="s">
        <v>62</v>
      </c>
      <c r="C73" s="24" t="s">
        <v>65</v>
      </c>
      <c r="D73" s="25">
        <f>E17</f>
        <v>263076.82</v>
      </c>
      <c r="E73" s="26">
        <f>D73/E21</f>
        <v>1.2655283769845767E-3</v>
      </c>
    </row>
    <row r="74" spans="2:5">
      <c r="B74" s="117" t="s">
        <v>64</v>
      </c>
      <c r="C74" s="118" t="s">
        <v>66</v>
      </c>
      <c r="D74" s="119">
        <f>D58+D71+D72-D73</f>
        <v>207879036.76000005</v>
      </c>
      <c r="E74" s="65">
        <f>E58+E72-E73</f>
        <v>0.99999999999999989</v>
      </c>
    </row>
    <row r="75" spans="2:5">
      <c r="B75" s="14" t="s">
        <v>4</v>
      </c>
      <c r="C75" s="15" t="s">
        <v>67</v>
      </c>
      <c r="D75" s="75">
        <f>D74</f>
        <v>207879036.76000005</v>
      </c>
      <c r="E75" s="76">
        <f>E74</f>
        <v>0.99999999999999989</v>
      </c>
    </row>
    <row r="76" spans="2:5">
      <c r="B76" s="14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146</v>
      </c>
      <c r="C6" s="354"/>
      <c r="D6" s="354"/>
      <c r="E6" s="354"/>
    </row>
    <row r="7" spans="2:7" ht="14.25">
      <c r="B7" s="147"/>
      <c r="C7" s="147"/>
      <c r="D7" s="147"/>
      <c r="E7" s="147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8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73532.95</v>
      </c>
      <c r="E11" s="211">
        <f>SUM(E12:E14)</f>
        <v>75252.45</v>
      </c>
    </row>
    <row r="12" spans="2:7">
      <c r="B12" s="103" t="s">
        <v>4</v>
      </c>
      <c r="C12" s="188" t="s">
        <v>5</v>
      </c>
      <c r="D12" s="271">
        <f>68955.72+4577.23</f>
        <v>73532.95</v>
      </c>
      <c r="E12" s="216">
        <f>69450.03+3561.63</f>
        <v>73011.66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/>
      <c r="E14" s="217">
        <f>E15</f>
        <v>2240.79</v>
      </c>
    </row>
    <row r="15" spans="2:7">
      <c r="B15" s="103" t="s">
        <v>106</v>
      </c>
      <c r="C15" s="188" t="s">
        <v>11</v>
      </c>
      <c r="D15" s="272"/>
      <c r="E15" s="217">
        <v>2240.79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/>
      <c r="E17" s="219">
        <f>E18</f>
        <v>684.69</v>
      </c>
    </row>
    <row r="18" spans="2:6">
      <c r="B18" s="103" t="s">
        <v>4</v>
      </c>
      <c r="C18" s="188" t="s">
        <v>11</v>
      </c>
      <c r="D18" s="273"/>
      <c r="E18" s="218">
        <v>684.69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73532.95</v>
      </c>
      <c r="E21" s="145">
        <f>E11-E17</f>
        <v>74567.759999999995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48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74478.210000000006</v>
      </c>
      <c r="E26" s="206">
        <f>D21</f>
        <v>73532.95</v>
      </c>
    </row>
    <row r="27" spans="2:6">
      <c r="B27" s="9" t="s">
        <v>17</v>
      </c>
      <c r="C27" s="10" t="s">
        <v>111</v>
      </c>
      <c r="D27" s="285">
        <v>-992.63</v>
      </c>
      <c r="E27" s="240">
        <v>540.49999999999977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1562.35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>
        <v>1562.35</v>
      </c>
      <c r="F31" s="70"/>
    </row>
    <row r="32" spans="2:6">
      <c r="B32" s="89" t="s">
        <v>23</v>
      </c>
      <c r="C32" s="11" t="s">
        <v>24</v>
      </c>
      <c r="D32" s="285">
        <v>992.63</v>
      </c>
      <c r="E32" s="241">
        <v>1021.8500000000001</v>
      </c>
      <c r="F32" s="70"/>
    </row>
    <row r="33" spans="2:6">
      <c r="B33" s="101" t="s">
        <v>4</v>
      </c>
      <c r="C33" s="6" t="s">
        <v>25</v>
      </c>
      <c r="D33" s="286"/>
      <c r="E33" s="242"/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365.15</v>
      </c>
      <c r="E35" s="242">
        <v>392.91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627.48</v>
      </c>
      <c r="E37" s="242">
        <v>628.94000000000005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-287.79000000000002</v>
      </c>
      <c r="E40" s="245">
        <v>494.31</v>
      </c>
    </row>
    <row r="41" spans="2:6" ht="13.5" thickBot="1">
      <c r="B41" s="96" t="s">
        <v>37</v>
      </c>
      <c r="C41" s="97" t="s">
        <v>38</v>
      </c>
      <c r="D41" s="289">
        <v>73197.790000000008</v>
      </c>
      <c r="E41" s="145">
        <f>E26+E27+E40</f>
        <v>74567.759999999995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8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687.54060000000004</v>
      </c>
      <c r="E47" s="300">
        <v>669.14580000000001</v>
      </c>
    </row>
    <row r="48" spans="2:6">
      <c r="B48" s="120" t="s">
        <v>6</v>
      </c>
      <c r="C48" s="22" t="s">
        <v>41</v>
      </c>
      <c r="D48" s="299">
        <v>678.32039999999995</v>
      </c>
      <c r="E48" s="310">
        <v>674.02700000000004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108.32550000000001</v>
      </c>
      <c r="E50" s="300">
        <v>109.8908</v>
      </c>
    </row>
    <row r="51" spans="2:5">
      <c r="B51" s="99" t="s">
        <v>6</v>
      </c>
      <c r="C51" s="15" t="s">
        <v>114</v>
      </c>
      <c r="D51" s="299">
        <v>106.20189999999999</v>
      </c>
      <c r="E51" s="249">
        <v>109.8908</v>
      </c>
    </row>
    <row r="52" spans="2:5">
      <c r="B52" s="99" t="s">
        <v>8</v>
      </c>
      <c r="C52" s="15" t="s">
        <v>115</v>
      </c>
      <c r="D52" s="299">
        <v>108.8254</v>
      </c>
      <c r="E52" s="249">
        <v>110.6806</v>
      </c>
    </row>
    <row r="53" spans="2:5" ht="13.5" thickBot="1">
      <c r="B53" s="100" t="s">
        <v>9</v>
      </c>
      <c r="C53" s="17" t="s">
        <v>41</v>
      </c>
      <c r="D53" s="297">
        <v>107.91030000000001</v>
      </c>
      <c r="E53" s="246">
        <v>110.6302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73011.66</v>
      </c>
      <c r="E58" s="31">
        <f>D58/E21</f>
        <v>0.97913173199785009</v>
      </c>
    </row>
    <row r="59" spans="2:5" ht="25.5">
      <c r="B59" s="120" t="s">
        <v>4</v>
      </c>
      <c r="C59" s="181" t="s">
        <v>44</v>
      </c>
      <c r="D59" s="77">
        <v>0</v>
      </c>
      <c r="E59" s="78">
        <v>0</v>
      </c>
    </row>
    <row r="60" spans="2:5" ht="25.5">
      <c r="B60" s="99" t="s">
        <v>6</v>
      </c>
      <c r="C60" s="179" t="s">
        <v>45</v>
      </c>
      <c r="D60" s="75">
        <v>0</v>
      </c>
      <c r="E60" s="76">
        <v>0</v>
      </c>
    </row>
    <row r="61" spans="2:5">
      <c r="B61" s="99" t="s">
        <v>8</v>
      </c>
      <c r="C61" s="179" t="s">
        <v>46</v>
      </c>
      <c r="D61" s="75">
        <v>0</v>
      </c>
      <c r="E61" s="76">
        <v>0</v>
      </c>
    </row>
    <row r="62" spans="2:5">
      <c r="B62" s="99" t="s">
        <v>9</v>
      </c>
      <c r="C62" s="179" t="s">
        <v>47</v>
      </c>
      <c r="D62" s="75">
        <v>0</v>
      </c>
      <c r="E62" s="76">
        <v>0</v>
      </c>
    </row>
    <row r="63" spans="2:5">
      <c r="B63" s="99" t="s">
        <v>29</v>
      </c>
      <c r="C63" s="179" t="s">
        <v>48</v>
      </c>
      <c r="D63" s="75">
        <v>0</v>
      </c>
      <c r="E63" s="76">
        <v>0</v>
      </c>
    </row>
    <row r="64" spans="2:5">
      <c r="B64" s="120" t="s">
        <v>31</v>
      </c>
      <c r="C64" s="181" t="s">
        <v>49</v>
      </c>
      <c r="D64" s="306">
        <v>69450.03</v>
      </c>
      <c r="E64" s="78">
        <f>D64/E21</f>
        <v>0.93136806040573039</v>
      </c>
    </row>
    <row r="65" spans="2:5">
      <c r="B65" s="120" t="s">
        <v>33</v>
      </c>
      <c r="C65" s="181" t="s">
        <v>118</v>
      </c>
      <c r="D65" s="77">
        <v>0</v>
      </c>
      <c r="E65" s="78">
        <v>0</v>
      </c>
    </row>
    <row r="66" spans="2:5">
      <c r="B66" s="120" t="s">
        <v>50</v>
      </c>
      <c r="C66" s="181" t="s">
        <v>51</v>
      </c>
      <c r="D66" s="77">
        <v>0</v>
      </c>
      <c r="E66" s="78">
        <v>0</v>
      </c>
    </row>
    <row r="67" spans="2:5">
      <c r="B67" s="99" t="s">
        <v>52</v>
      </c>
      <c r="C67" s="179" t="s">
        <v>53</v>
      </c>
      <c r="D67" s="75">
        <v>0</v>
      </c>
      <c r="E67" s="76">
        <v>0</v>
      </c>
    </row>
    <row r="68" spans="2:5">
      <c r="B68" s="99" t="s">
        <v>54</v>
      </c>
      <c r="C68" s="179" t="s">
        <v>55</v>
      </c>
      <c r="D68" s="75">
        <v>0</v>
      </c>
      <c r="E68" s="76">
        <v>0</v>
      </c>
    </row>
    <row r="69" spans="2:5">
      <c r="B69" s="99" t="s">
        <v>56</v>
      </c>
      <c r="C69" s="179" t="s">
        <v>57</v>
      </c>
      <c r="D69" s="322">
        <v>3561.63</v>
      </c>
      <c r="E69" s="76">
        <f>D69/E21</f>
        <v>4.7763671592119708E-2</v>
      </c>
    </row>
    <row r="70" spans="2:5">
      <c r="B70" s="126" t="s">
        <v>58</v>
      </c>
      <c r="C70" s="207" t="s">
        <v>59</v>
      </c>
      <c r="D70" s="213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2240.79</v>
      </c>
      <c r="E72" s="116">
        <f>D72/E21</f>
        <v>3.005038638682455E-2</v>
      </c>
    </row>
    <row r="73" spans="2:5">
      <c r="B73" s="129" t="s">
        <v>62</v>
      </c>
      <c r="C73" s="24" t="s">
        <v>65</v>
      </c>
      <c r="D73" s="25">
        <f>E17</f>
        <v>684.69</v>
      </c>
      <c r="E73" s="26">
        <f>D73/E21</f>
        <v>9.1821183846745574E-3</v>
      </c>
    </row>
    <row r="74" spans="2:5">
      <c r="B74" s="127" t="s">
        <v>64</v>
      </c>
      <c r="C74" s="118" t="s">
        <v>66</v>
      </c>
      <c r="D74" s="119">
        <f>D58-D73+D72</f>
        <v>74567.759999999995</v>
      </c>
      <c r="E74" s="65">
        <f>E58+E72-E73</f>
        <v>1</v>
      </c>
    </row>
    <row r="75" spans="2:5">
      <c r="B75" s="99" t="s">
        <v>4</v>
      </c>
      <c r="C75" s="179" t="s">
        <v>67</v>
      </c>
      <c r="D75" s="75">
        <f>D74</f>
        <v>74567.759999999995</v>
      </c>
      <c r="E75" s="76">
        <f>E74</f>
        <v>1</v>
      </c>
    </row>
    <row r="76" spans="2:5">
      <c r="B76" s="99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147</v>
      </c>
      <c r="C6" s="354"/>
      <c r="D6" s="354"/>
      <c r="E6" s="354"/>
    </row>
    <row r="7" spans="2:7" ht="14.25">
      <c r="B7" s="160"/>
      <c r="C7" s="160"/>
      <c r="D7" s="160"/>
      <c r="E7" s="16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61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17467.93</v>
      </c>
      <c r="E11" s="211">
        <f>SUM(E12:E14)</f>
        <v>18030.900000000001</v>
      </c>
    </row>
    <row r="12" spans="2:7">
      <c r="B12" s="103" t="s">
        <v>4</v>
      </c>
      <c r="C12" s="188" t="s">
        <v>5</v>
      </c>
      <c r="D12" s="271">
        <f>15789.83+1678.1</f>
        <v>17467.93</v>
      </c>
      <c r="E12" s="216">
        <f>15941.48+2089.42</f>
        <v>18030.900000000001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/>
      <c r="E14" s="217"/>
    </row>
    <row r="15" spans="2:7">
      <c r="B15" s="103" t="s">
        <v>106</v>
      </c>
      <c r="C15" s="188" t="s">
        <v>11</v>
      </c>
      <c r="D15" s="272"/>
      <c r="E15" s="217"/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/>
      <c r="E17" s="219"/>
    </row>
    <row r="18" spans="2:6">
      <c r="B18" s="103" t="s">
        <v>4</v>
      </c>
      <c r="C18" s="188" t="s">
        <v>11</v>
      </c>
      <c r="D18" s="273"/>
      <c r="E18" s="218"/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17467.93</v>
      </c>
      <c r="E21" s="145">
        <f>E11-E17</f>
        <v>18030.900000000001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61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16673.87</v>
      </c>
      <c r="E26" s="206">
        <f>D21</f>
        <v>17467.93</v>
      </c>
    </row>
    <row r="27" spans="2:6">
      <c r="B27" s="9" t="s">
        <v>17</v>
      </c>
      <c r="C27" s="10" t="s">
        <v>111</v>
      </c>
      <c r="D27" s="285">
        <v>-171.75</v>
      </c>
      <c r="E27" s="240">
        <v>-188.68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171.75</v>
      </c>
      <c r="E32" s="241">
        <v>188.68</v>
      </c>
      <c r="F32" s="70"/>
    </row>
    <row r="33" spans="2:6">
      <c r="B33" s="101" t="s">
        <v>4</v>
      </c>
      <c r="C33" s="6" t="s">
        <v>25</v>
      </c>
      <c r="D33" s="286"/>
      <c r="E33" s="242"/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37.520000000000003</v>
      </c>
      <c r="E35" s="242">
        <v>38.82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134.22999999999999</v>
      </c>
      <c r="E37" s="242">
        <v>149.86000000000001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-736.38</v>
      </c>
      <c r="E40" s="245">
        <v>751.65</v>
      </c>
    </row>
    <row r="41" spans="2:6" ht="13.5" thickBot="1">
      <c r="B41" s="96" t="s">
        <v>37</v>
      </c>
      <c r="C41" s="97" t="s">
        <v>38</v>
      </c>
      <c r="D41" s="289">
        <v>15765.74</v>
      </c>
      <c r="E41" s="145">
        <f>E26+E27+E40</f>
        <v>18030.900000000001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61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141.619</v>
      </c>
      <c r="E47" s="300">
        <v>138.5753</v>
      </c>
    </row>
    <row r="48" spans="2:6">
      <c r="B48" s="180" t="s">
        <v>6</v>
      </c>
      <c r="C48" s="181" t="s">
        <v>41</v>
      </c>
      <c r="D48" s="299">
        <v>140.0787</v>
      </c>
      <c r="E48" s="310">
        <v>137.10329999999999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117.7375</v>
      </c>
      <c r="E50" s="300">
        <v>126.05370000000001</v>
      </c>
    </row>
    <row r="51" spans="2:5">
      <c r="B51" s="178" t="s">
        <v>6</v>
      </c>
      <c r="C51" s="179" t="s">
        <v>114</v>
      </c>
      <c r="D51" s="299">
        <v>95.770600000000002</v>
      </c>
      <c r="E51" s="267">
        <v>125.0515</v>
      </c>
    </row>
    <row r="52" spans="2:5">
      <c r="B52" s="178" t="s">
        <v>8</v>
      </c>
      <c r="C52" s="179" t="s">
        <v>115</v>
      </c>
      <c r="D52" s="299">
        <v>120.9598</v>
      </c>
      <c r="E52" s="267">
        <v>131.5299</v>
      </c>
    </row>
    <row r="53" spans="2:5" ht="13.5" thickBot="1">
      <c r="B53" s="182" t="s">
        <v>9</v>
      </c>
      <c r="C53" s="183" t="s">
        <v>41</v>
      </c>
      <c r="D53" s="297">
        <v>112.5492</v>
      </c>
      <c r="E53" s="323">
        <v>131.51320000000001</v>
      </c>
    </row>
    <row r="54" spans="2:5">
      <c r="B54" s="184"/>
      <c r="C54" s="185"/>
      <c r="D54" s="108"/>
      <c r="E54" s="108"/>
    </row>
    <row r="55" spans="2:5" ht="13.5">
      <c r="B55" s="357" t="s">
        <v>62</v>
      </c>
      <c r="C55" s="366"/>
      <c r="D55" s="366"/>
      <c r="E55" s="366"/>
    </row>
    <row r="56" spans="2:5" ht="14.25" thickBot="1">
      <c r="B56" s="355" t="s">
        <v>116</v>
      </c>
      <c r="C56" s="367"/>
      <c r="D56" s="367"/>
      <c r="E56" s="367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18030.900000000001</v>
      </c>
      <c r="E58" s="31">
        <f>D58/E21</f>
        <v>1</v>
      </c>
    </row>
    <row r="59" spans="2:5" ht="25.5">
      <c r="B59" s="120" t="s">
        <v>4</v>
      </c>
      <c r="C59" s="181" t="s">
        <v>44</v>
      </c>
      <c r="D59" s="77">
        <v>0</v>
      </c>
      <c r="E59" s="78">
        <v>0</v>
      </c>
    </row>
    <row r="60" spans="2:5" ht="25.5">
      <c r="B60" s="99" t="s">
        <v>6</v>
      </c>
      <c r="C60" s="179" t="s">
        <v>45</v>
      </c>
      <c r="D60" s="75">
        <v>0</v>
      </c>
      <c r="E60" s="76">
        <v>0</v>
      </c>
    </row>
    <row r="61" spans="2:5">
      <c r="B61" s="99" t="s">
        <v>8</v>
      </c>
      <c r="C61" s="179" t="s">
        <v>46</v>
      </c>
      <c r="D61" s="75">
        <v>0</v>
      </c>
      <c r="E61" s="76">
        <v>0</v>
      </c>
    </row>
    <row r="62" spans="2:5">
      <c r="B62" s="99" t="s">
        <v>9</v>
      </c>
      <c r="C62" s="179" t="s">
        <v>47</v>
      </c>
      <c r="D62" s="75">
        <v>0</v>
      </c>
      <c r="E62" s="76">
        <v>0</v>
      </c>
    </row>
    <row r="63" spans="2:5">
      <c r="B63" s="99" t="s">
        <v>29</v>
      </c>
      <c r="C63" s="179" t="s">
        <v>48</v>
      </c>
      <c r="D63" s="75">
        <v>0</v>
      </c>
      <c r="E63" s="76">
        <v>0</v>
      </c>
    </row>
    <row r="64" spans="2:5">
      <c r="B64" s="120" t="s">
        <v>31</v>
      </c>
      <c r="C64" s="181" t="s">
        <v>49</v>
      </c>
      <c r="D64" s="306">
        <v>15941.48</v>
      </c>
      <c r="E64" s="78">
        <f>D64/E21</f>
        <v>0.88412003837856112</v>
      </c>
    </row>
    <row r="65" spans="2:5">
      <c r="B65" s="120" t="s">
        <v>33</v>
      </c>
      <c r="C65" s="181" t="s">
        <v>118</v>
      </c>
      <c r="D65" s="77">
        <v>0</v>
      </c>
      <c r="E65" s="78">
        <v>0</v>
      </c>
    </row>
    <row r="66" spans="2:5">
      <c r="B66" s="120" t="s">
        <v>50</v>
      </c>
      <c r="C66" s="181" t="s">
        <v>51</v>
      </c>
      <c r="D66" s="77">
        <v>0</v>
      </c>
      <c r="E66" s="78">
        <v>0</v>
      </c>
    </row>
    <row r="67" spans="2:5">
      <c r="B67" s="99" t="s">
        <v>52</v>
      </c>
      <c r="C67" s="179" t="s">
        <v>53</v>
      </c>
      <c r="D67" s="75">
        <v>0</v>
      </c>
      <c r="E67" s="76">
        <v>0</v>
      </c>
    </row>
    <row r="68" spans="2:5">
      <c r="B68" s="99" t="s">
        <v>54</v>
      </c>
      <c r="C68" s="179" t="s">
        <v>55</v>
      </c>
      <c r="D68" s="75">
        <v>0</v>
      </c>
      <c r="E68" s="76">
        <v>0</v>
      </c>
    </row>
    <row r="69" spans="2:5">
      <c r="B69" s="99" t="s">
        <v>56</v>
      </c>
      <c r="C69" s="179" t="s">
        <v>57</v>
      </c>
      <c r="D69" s="322">
        <v>2089.42</v>
      </c>
      <c r="E69" s="76">
        <f>D69/E21</f>
        <v>0.11587996162143875</v>
      </c>
    </row>
    <row r="70" spans="2:5">
      <c r="B70" s="126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18030.900000000001</v>
      </c>
      <c r="E74" s="65">
        <f>E58+E72-E73</f>
        <v>1</v>
      </c>
    </row>
    <row r="75" spans="2:5">
      <c r="B75" s="99" t="s">
        <v>4</v>
      </c>
      <c r="C75" s="179" t="s">
        <v>67</v>
      </c>
      <c r="D75" s="75">
        <f>D74</f>
        <v>18030.900000000001</v>
      </c>
      <c r="E75" s="76">
        <f>E74</f>
        <v>1</v>
      </c>
    </row>
    <row r="76" spans="2:5">
      <c r="B76" s="99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68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15877715.82</v>
      </c>
      <c r="E11" s="211">
        <f>SUM(E12:E14)</f>
        <v>15007336.060000002</v>
      </c>
    </row>
    <row r="12" spans="2:7">
      <c r="B12" s="103" t="s">
        <v>4</v>
      </c>
      <c r="C12" s="188" t="s">
        <v>5</v>
      </c>
      <c r="D12" s="271">
        <v>15877715.82</v>
      </c>
      <c r="E12" s="216">
        <f>15008482.21-1211.95</f>
        <v>15007270.260000002</v>
      </c>
    </row>
    <row r="13" spans="2:7">
      <c r="B13" s="103" t="s">
        <v>6</v>
      </c>
      <c r="C13" s="188" t="s">
        <v>7</v>
      </c>
      <c r="D13" s="272"/>
      <c r="E13" s="217">
        <v>65.8</v>
      </c>
    </row>
    <row r="14" spans="2:7">
      <c r="B14" s="103" t="s">
        <v>8</v>
      </c>
      <c r="C14" s="188" t="s">
        <v>10</v>
      </c>
      <c r="D14" s="272"/>
      <c r="E14" s="217"/>
    </row>
    <row r="15" spans="2:7">
      <c r="B15" s="103" t="s">
        <v>106</v>
      </c>
      <c r="C15" s="188" t="s">
        <v>11</v>
      </c>
      <c r="D15" s="272"/>
      <c r="E15" s="217"/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55019.02</v>
      </c>
      <c r="E17" s="219">
        <f>E18</f>
        <v>45679.34</v>
      </c>
    </row>
    <row r="18" spans="2:6">
      <c r="B18" s="103" t="s">
        <v>4</v>
      </c>
      <c r="C18" s="188" t="s">
        <v>11</v>
      </c>
      <c r="D18" s="273">
        <v>55019.02</v>
      </c>
      <c r="E18" s="218">
        <v>45679.34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15822696.800000001</v>
      </c>
      <c r="E21" s="145">
        <f>E11-E17</f>
        <v>14961656.720000003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16954164.100000001</v>
      </c>
      <c r="E26" s="206">
        <f>D21</f>
        <v>15822696.800000001</v>
      </c>
    </row>
    <row r="27" spans="2:6">
      <c r="B27" s="9" t="s">
        <v>17</v>
      </c>
      <c r="C27" s="10" t="s">
        <v>111</v>
      </c>
      <c r="D27" s="285">
        <v>-843646.07999999984</v>
      </c>
      <c r="E27" s="240">
        <v>-672620.35</v>
      </c>
      <c r="F27" s="70"/>
    </row>
    <row r="28" spans="2:6">
      <c r="B28" s="9" t="s">
        <v>18</v>
      </c>
      <c r="C28" s="10" t="s">
        <v>19</v>
      </c>
      <c r="D28" s="285">
        <v>293588.95</v>
      </c>
      <c r="E28" s="241">
        <v>23761.11</v>
      </c>
      <c r="F28" s="70"/>
    </row>
    <row r="29" spans="2:6">
      <c r="B29" s="101" t="s">
        <v>4</v>
      </c>
      <c r="C29" s="6" t="s">
        <v>20</v>
      </c>
      <c r="D29" s="286">
        <v>6151.92</v>
      </c>
      <c r="E29" s="242">
        <v>4617.76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287437.03000000003</v>
      </c>
      <c r="E31" s="242">
        <v>19143.349999999999</v>
      </c>
      <c r="F31" s="70"/>
    </row>
    <row r="32" spans="2:6">
      <c r="B32" s="89" t="s">
        <v>23</v>
      </c>
      <c r="C32" s="11" t="s">
        <v>24</v>
      </c>
      <c r="D32" s="285">
        <v>1137235.0299999998</v>
      </c>
      <c r="E32" s="241">
        <v>696381.46</v>
      </c>
      <c r="F32" s="70"/>
    </row>
    <row r="33" spans="2:6">
      <c r="B33" s="101" t="s">
        <v>4</v>
      </c>
      <c r="C33" s="6" t="s">
        <v>25</v>
      </c>
      <c r="D33" s="286">
        <v>1015250.1599999999</v>
      </c>
      <c r="E33" s="242">
        <v>638763.36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18437.98</v>
      </c>
      <c r="E35" s="242">
        <v>14963.89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103546.89</v>
      </c>
      <c r="E39" s="243">
        <v>42654.21</v>
      </c>
      <c r="F39" s="70"/>
    </row>
    <row r="40" spans="2:6" ht="13.5" thickBot="1">
      <c r="B40" s="94" t="s">
        <v>35</v>
      </c>
      <c r="C40" s="95" t="s">
        <v>36</v>
      </c>
      <c r="D40" s="288">
        <v>183957.26</v>
      </c>
      <c r="E40" s="245">
        <v>-188419.73</v>
      </c>
    </row>
    <row r="41" spans="2:6" ht="13.5" thickBot="1">
      <c r="B41" s="96" t="s">
        <v>37</v>
      </c>
      <c r="C41" s="97" t="s">
        <v>38</v>
      </c>
      <c r="D41" s="289">
        <v>16294475.280000001</v>
      </c>
      <c r="E41" s="145">
        <f>E26+E27+E40</f>
        <v>14961656.720000001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1294336.0936999999</v>
      </c>
      <c r="E47" s="300">
        <v>1179559.9424000001</v>
      </c>
    </row>
    <row r="48" spans="2:6">
      <c r="B48" s="120" t="s">
        <v>6</v>
      </c>
      <c r="C48" s="22" t="s">
        <v>41</v>
      </c>
      <c r="D48" s="299">
        <v>1229735.2053</v>
      </c>
      <c r="E48" s="300">
        <v>1129283.3589000001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13.098699999999999</v>
      </c>
      <c r="E50" s="300">
        <v>13.414099999999999</v>
      </c>
    </row>
    <row r="51" spans="2:5">
      <c r="B51" s="99" t="s">
        <v>6</v>
      </c>
      <c r="C51" s="15" t="s">
        <v>114</v>
      </c>
      <c r="D51" s="299">
        <v>12.7288</v>
      </c>
      <c r="E51" s="72">
        <v>13.1928</v>
      </c>
    </row>
    <row r="52" spans="2:5">
      <c r="B52" s="99" t="s">
        <v>8</v>
      </c>
      <c r="C52" s="15" t="s">
        <v>115</v>
      </c>
      <c r="D52" s="299">
        <v>13.274800000000001</v>
      </c>
      <c r="E52" s="72">
        <v>13.4573</v>
      </c>
    </row>
    <row r="53" spans="2:5" ht="13.5" customHeight="1" thickBot="1">
      <c r="B53" s="100" t="s">
        <v>9</v>
      </c>
      <c r="C53" s="17" t="s">
        <v>41</v>
      </c>
      <c r="D53" s="297">
        <v>13.250400000000001</v>
      </c>
      <c r="E53" s="246">
        <v>13.248799999999999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15007270.260000002</v>
      </c>
      <c r="E58" s="31">
        <f>D58/E21</f>
        <v>1.0030486957997791</v>
      </c>
    </row>
    <row r="59" spans="2:5" ht="25.5">
      <c r="B59" s="180" t="s">
        <v>4</v>
      </c>
      <c r="C59" s="181" t="s">
        <v>44</v>
      </c>
      <c r="D59" s="77">
        <v>0</v>
      </c>
      <c r="E59" s="78">
        <v>0</v>
      </c>
    </row>
    <row r="60" spans="2:5" ht="25.5">
      <c r="B60" s="178" t="s">
        <v>6</v>
      </c>
      <c r="C60" s="179" t="s">
        <v>45</v>
      </c>
      <c r="D60" s="75">
        <v>0</v>
      </c>
      <c r="E60" s="76">
        <v>0</v>
      </c>
    </row>
    <row r="61" spans="2:5" ht="12.75" customHeight="1">
      <c r="B61" s="178" t="s">
        <v>8</v>
      </c>
      <c r="C61" s="179" t="s">
        <v>46</v>
      </c>
      <c r="D61" s="75">
        <v>0</v>
      </c>
      <c r="E61" s="76">
        <v>0</v>
      </c>
    </row>
    <row r="62" spans="2:5">
      <c r="B62" s="178" t="s">
        <v>9</v>
      </c>
      <c r="C62" s="179" t="s">
        <v>47</v>
      </c>
      <c r="D62" s="75">
        <v>0</v>
      </c>
      <c r="E62" s="76">
        <v>0</v>
      </c>
    </row>
    <row r="63" spans="2:5">
      <c r="B63" s="178" t="s">
        <v>29</v>
      </c>
      <c r="C63" s="179" t="s">
        <v>48</v>
      </c>
      <c r="D63" s="75">
        <v>0</v>
      </c>
      <c r="E63" s="76">
        <v>0</v>
      </c>
    </row>
    <row r="64" spans="2:5">
      <c r="B64" s="180" t="s">
        <v>31</v>
      </c>
      <c r="C64" s="181" t="s">
        <v>49</v>
      </c>
      <c r="D64" s="77">
        <f>15008482.21-1211.95</f>
        <v>15007270.260000002</v>
      </c>
      <c r="E64" s="78">
        <f>D64/E21</f>
        <v>1.0030486957997791</v>
      </c>
    </row>
    <row r="65" spans="2:5">
      <c r="B65" s="180" t="s">
        <v>33</v>
      </c>
      <c r="C65" s="181" t="s">
        <v>118</v>
      </c>
      <c r="D65" s="77">
        <v>0</v>
      </c>
      <c r="E65" s="78">
        <v>0</v>
      </c>
    </row>
    <row r="66" spans="2:5">
      <c r="B66" s="180" t="s">
        <v>50</v>
      </c>
      <c r="C66" s="181" t="s">
        <v>51</v>
      </c>
      <c r="D66" s="77">
        <v>0</v>
      </c>
      <c r="E66" s="78">
        <v>0</v>
      </c>
    </row>
    <row r="67" spans="2:5">
      <c r="B67" s="178" t="s">
        <v>52</v>
      </c>
      <c r="C67" s="179" t="s">
        <v>53</v>
      </c>
      <c r="D67" s="75">
        <v>0</v>
      </c>
      <c r="E67" s="76">
        <v>0</v>
      </c>
    </row>
    <row r="68" spans="2:5">
      <c r="B68" s="178" t="s">
        <v>54</v>
      </c>
      <c r="C68" s="179" t="s">
        <v>55</v>
      </c>
      <c r="D68" s="75">
        <v>0</v>
      </c>
      <c r="E68" s="76">
        <v>0</v>
      </c>
    </row>
    <row r="69" spans="2:5">
      <c r="B69" s="178" t="s">
        <v>56</v>
      </c>
      <c r="C69" s="179" t="s">
        <v>57</v>
      </c>
      <c r="D69" s="213">
        <v>0</v>
      </c>
      <c r="E69" s="76">
        <v>0</v>
      </c>
    </row>
    <row r="70" spans="2:5">
      <c r="B70" s="208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65.8</v>
      </c>
      <c r="E71" s="65">
        <f>D71/E21</f>
        <v>4.3979086829362829E-6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45679.34</v>
      </c>
      <c r="E73" s="26">
        <f>D73/E21</f>
        <v>3.0530937084619855E-3</v>
      </c>
    </row>
    <row r="74" spans="2:5">
      <c r="B74" s="127" t="s">
        <v>64</v>
      </c>
      <c r="C74" s="118" t="s">
        <v>66</v>
      </c>
      <c r="D74" s="119">
        <f>D58+D71+D72-D73</f>
        <v>14961656.720000003</v>
      </c>
      <c r="E74" s="65">
        <f>E58+E71+E72-E73</f>
        <v>1</v>
      </c>
    </row>
    <row r="75" spans="2:5">
      <c r="B75" s="178" t="s">
        <v>4</v>
      </c>
      <c r="C75" s="179" t="s">
        <v>67</v>
      </c>
      <c r="D75" s="75">
        <f>D74</f>
        <v>14961656.720000003</v>
      </c>
      <c r="E75" s="76">
        <f>E74</f>
        <v>1</v>
      </c>
    </row>
    <row r="76" spans="2:5">
      <c r="B76" s="178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82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G81"/>
  <sheetViews>
    <sheetView topLeftCell="A19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69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96458073.739999995</v>
      </c>
      <c r="E11" s="211">
        <f>SUM(E12:E14)</f>
        <v>100200858.37</v>
      </c>
    </row>
    <row r="12" spans="2:7">
      <c r="B12" s="103" t="s">
        <v>4</v>
      </c>
      <c r="C12" s="188" t="s">
        <v>5</v>
      </c>
      <c r="D12" s="271">
        <f>96553404.07-95330.33</f>
        <v>96458073.739999995</v>
      </c>
      <c r="E12" s="216">
        <f>100334341.42-133483.05</f>
        <v>100200858.37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/>
      <c r="E14" s="217"/>
    </row>
    <row r="15" spans="2:7">
      <c r="B15" s="103" t="s">
        <v>106</v>
      </c>
      <c r="C15" s="188" t="s">
        <v>11</v>
      </c>
      <c r="D15" s="272"/>
      <c r="E15" s="217"/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481600.52</v>
      </c>
      <c r="E17" s="219">
        <f>E18</f>
        <v>301701.01</v>
      </c>
    </row>
    <row r="18" spans="2:6">
      <c r="B18" s="103" t="s">
        <v>4</v>
      </c>
      <c r="C18" s="188" t="s">
        <v>11</v>
      </c>
      <c r="D18" s="273">
        <v>481600.52</v>
      </c>
      <c r="E18" s="218">
        <v>301701.01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95976473.219999999</v>
      </c>
      <c r="E21" s="145">
        <f>E11-E17</f>
        <v>99899157.359999999</v>
      </c>
      <c r="F21" s="74"/>
    </row>
    <row r="22" spans="2:6">
      <c r="B22" s="3"/>
      <c r="C22" s="7"/>
      <c r="D22" s="8"/>
      <c r="E22" s="250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105127010.03</v>
      </c>
      <c r="E26" s="206">
        <f>D21</f>
        <v>95976473.219999999</v>
      </c>
    </row>
    <row r="27" spans="2:6">
      <c r="B27" s="9" t="s">
        <v>17</v>
      </c>
      <c r="C27" s="10" t="s">
        <v>111</v>
      </c>
      <c r="D27" s="285">
        <v>-4937438.7499999981</v>
      </c>
      <c r="E27" s="240">
        <v>-4155971.2500000005</v>
      </c>
      <c r="F27" s="70"/>
    </row>
    <row r="28" spans="2:6">
      <c r="B28" s="9" t="s">
        <v>18</v>
      </c>
      <c r="C28" s="10" t="s">
        <v>19</v>
      </c>
      <c r="D28" s="285">
        <v>24434.86</v>
      </c>
      <c r="E28" s="241">
        <v>106675.01999999999</v>
      </c>
      <c r="F28" s="70"/>
    </row>
    <row r="29" spans="2:6">
      <c r="B29" s="101" t="s">
        <v>4</v>
      </c>
      <c r="C29" s="6" t="s">
        <v>20</v>
      </c>
      <c r="D29" s="286">
        <v>24434.86</v>
      </c>
      <c r="E29" s="242">
        <v>20853.400000000001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>
        <v>85821.62</v>
      </c>
      <c r="F31" s="70"/>
    </row>
    <row r="32" spans="2:6">
      <c r="B32" s="89" t="s">
        <v>23</v>
      </c>
      <c r="C32" s="11" t="s">
        <v>24</v>
      </c>
      <c r="D32" s="285">
        <v>4961873.6099999985</v>
      </c>
      <c r="E32" s="241">
        <v>4262646.2700000005</v>
      </c>
      <c r="F32" s="70"/>
    </row>
    <row r="33" spans="2:6">
      <c r="B33" s="101" t="s">
        <v>4</v>
      </c>
      <c r="C33" s="6" t="s">
        <v>25</v>
      </c>
      <c r="D33" s="286">
        <v>4704824.3199999994</v>
      </c>
      <c r="E33" s="242">
        <v>4043296.68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87407.77</v>
      </c>
      <c r="E35" s="242">
        <v>90373.92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169641.52</v>
      </c>
      <c r="E39" s="243">
        <v>128975.67</v>
      </c>
      <c r="F39" s="70"/>
    </row>
    <row r="40" spans="2:6" ht="13.5" thickBot="1">
      <c r="B40" s="94" t="s">
        <v>35</v>
      </c>
      <c r="C40" s="95" t="s">
        <v>36</v>
      </c>
      <c r="D40" s="288">
        <v>-8012629.9100000001</v>
      </c>
      <c r="E40" s="245">
        <v>8078655.3899999997</v>
      </c>
    </row>
    <row r="41" spans="2:6" ht="13.5" thickBot="1">
      <c r="B41" s="96" t="s">
        <v>37</v>
      </c>
      <c r="C41" s="97" t="s">
        <v>38</v>
      </c>
      <c r="D41" s="289">
        <v>92176941.370000005</v>
      </c>
      <c r="E41" s="145">
        <f>E26+E27+E40</f>
        <v>99899157.359999999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10472691.497099999</v>
      </c>
      <c r="E47" s="300">
        <v>9568952.8922000006</v>
      </c>
    </row>
    <row r="48" spans="2:6">
      <c r="B48" s="120" t="s">
        <v>6</v>
      </c>
      <c r="C48" s="22" t="s">
        <v>41</v>
      </c>
      <c r="D48" s="299">
        <v>9929818.0895000007</v>
      </c>
      <c r="E48" s="300">
        <v>9168852.8370999992</v>
      </c>
    </row>
    <row r="49" spans="2:5">
      <c r="B49" s="117" t="s">
        <v>23</v>
      </c>
      <c r="C49" s="121" t="s">
        <v>113</v>
      </c>
      <c r="D49" s="302"/>
      <c r="E49" s="300"/>
    </row>
    <row r="50" spans="2:5">
      <c r="B50" s="99" t="s">
        <v>4</v>
      </c>
      <c r="C50" s="15" t="s">
        <v>40</v>
      </c>
      <c r="D50" s="299">
        <v>10.0382</v>
      </c>
      <c r="E50" s="300">
        <v>10.029999999999999</v>
      </c>
    </row>
    <row r="51" spans="2:5">
      <c r="B51" s="99" t="s">
        <v>6</v>
      </c>
      <c r="C51" s="15" t="s">
        <v>114</v>
      </c>
      <c r="D51" s="299">
        <v>7.9417</v>
      </c>
      <c r="E51" s="72">
        <v>9.9952000000000005</v>
      </c>
    </row>
    <row r="52" spans="2:5" ht="12.75" customHeight="1">
      <c r="B52" s="99" t="s">
        <v>8</v>
      </c>
      <c r="C52" s="15" t="s">
        <v>115</v>
      </c>
      <c r="D52" s="299">
        <v>10.1409</v>
      </c>
      <c r="E52" s="72">
        <v>10.965</v>
      </c>
    </row>
    <row r="53" spans="2:5" ht="13.5" thickBot="1">
      <c r="B53" s="100" t="s">
        <v>9</v>
      </c>
      <c r="C53" s="17" t="s">
        <v>41</v>
      </c>
      <c r="D53" s="297">
        <v>9.2827999999999999</v>
      </c>
      <c r="E53" s="246">
        <v>10.8955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100200858.37</v>
      </c>
      <c r="E58" s="31">
        <f>D58/E21</f>
        <v>1.0030200556038005</v>
      </c>
    </row>
    <row r="59" spans="2:5" ht="25.5">
      <c r="B59" s="180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178" t="s">
        <v>6</v>
      </c>
      <c r="C60" s="179" t="s">
        <v>45</v>
      </c>
      <c r="D60" s="75">
        <v>0</v>
      </c>
      <c r="E60" s="76">
        <v>0</v>
      </c>
    </row>
    <row r="61" spans="2:5">
      <c r="B61" s="178" t="s">
        <v>8</v>
      </c>
      <c r="C61" s="179" t="s">
        <v>46</v>
      </c>
      <c r="D61" s="75">
        <v>0</v>
      </c>
      <c r="E61" s="76">
        <v>0</v>
      </c>
    </row>
    <row r="62" spans="2:5">
      <c r="B62" s="178" t="s">
        <v>9</v>
      </c>
      <c r="C62" s="179" t="s">
        <v>47</v>
      </c>
      <c r="D62" s="75">
        <v>0</v>
      </c>
      <c r="E62" s="76">
        <v>0</v>
      </c>
    </row>
    <row r="63" spans="2:5">
      <c r="B63" s="178" t="s">
        <v>29</v>
      </c>
      <c r="C63" s="179" t="s">
        <v>48</v>
      </c>
      <c r="D63" s="75">
        <v>0</v>
      </c>
      <c r="E63" s="76">
        <v>0</v>
      </c>
    </row>
    <row r="64" spans="2:5">
      <c r="B64" s="180" t="s">
        <v>31</v>
      </c>
      <c r="C64" s="181" t="s">
        <v>49</v>
      </c>
      <c r="D64" s="77">
        <f>100334341.42-133483.05</f>
        <v>100200858.37</v>
      </c>
      <c r="E64" s="78">
        <f>D64/E21</f>
        <v>1.0030200556038005</v>
      </c>
    </row>
    <row r="65" spans="2:5">
      <c r="B65" s="180" t="s">
        <v>33</v>
      </c>
      <c r="C65" s="181" t="s">
        <v>118</v>
      </c>
      <c r="D65" s="77">
        <v>0</v>
      </c>
      <c r="E65" s="78">
        <v>0</v>
      </c>
    </row>
    <row r="66" spans="2:5">
      <c r="B66" s="180" t="s">
        <v>50</v>
      </c>
      <c r="C66" s="181" t="s">
        <v>51</v>
      </c>
      <c r="D66" s="77">
        <v>0</v>
      </c>
      <c r="E66" s="78">
        <v>0</v>
      </c>
    </row>
    <row r="67" spans="2:5">
      <c r="B67" s="178" t="s">
        <v>52</v>
      </c>
      <c r="C67" s="179" t="s">
        <v>53</v>
      </c>
      <c r="D67" s="75">
        <v>0</v>
      </c>
      <c r="E67" s="76">
        <v>0</v>
      </c>
    </row>
    <row r="68" spans="2:5">
      <c r="B68" s="178" t="s">
        <v>54</v>
      </c>
      <c r="C68" s="179" t="s">
        <v>55</v>
      </c>
      <c r="D68" s="75">
        <v>0</v>
      </c>
      <c r="E68" s="76">
        <v>0</v>
      </c>
    </row>
    <row r="69" spans="2:5">
      <c r="B69" s="178" t="s">
        <v>56</v>
      </c>
      <c r="C69" s="179" t="s">
        <v>57</v>
      </c>
      <c r="D69" s="213">
        <v>0</v>
      </c>
      <c r="E69" s="76">
        <v>0</v>
      </c>
    </row>
    <row r="70" spans="2:5">
      <c r="B70" s="208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301701.01</v>
      </c>
      <c r="E73" s="26">
        <f>D73/E21</f>
        <v>3.0200556038003402E-3</v>
      </c>
    </row>
    <row r="74" spans="2:5">
      <c r="B74" s="127" t="s">
        <v>64</v>
      </c>
      <c r="C74" s="118" t="s">
        <v>66</v>
      </c>
      <c r="D74" s="119">
        <f>D58+D71-D73</f>
        <v>99899157.359999999</v>
      </c>
      <c r="E74" s="65">
        <f>E58+E72-E73</f>
        <v>1.0000000000000002</v>
      </c>
    </row>
    <row r="75" spans="2:5">
      <c r="B75" s="178" t="s">
        <v>4</v>
      </c>
      <c r="C75" s="179" t="s">
        <v>67</v>
      </c>
      <c r="D75" s="75">
        <f>D74</f>
        <v>99899157.359999999</v>
      </c>
      <c r="E75" s="76">
        <f>E74</f>
        <v>1.0000000000000002</v>
      </c>
    </row>
    <row r="76" spans="2:5">
      <c r="B76" s="178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82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6000000000000005" bottom="0.47" header="0.5" footer="0.5"/>
  <pageSetup paperSize="9"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G81"/>
  <sheetViews>
    <sheetView topLeftCell="A22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70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89496455.040000007</v>
      </c>
      <c r="E11" s="211">
        <f>SUM(E12:E14)</f>
        <v>99595526.61999999</v>
      </c>
    </row>
    <row r="12" spans="2:7">
      <c r="B12" s="103" t="s">
        <v>4</v>
      </c>
      <c r="C12" s="188" t="s">
        <v>5</v>
      </c>
      <c r="D12" s="271">
        <f>89515140.36-33829</f>
        <v>89481311.359999999</v>
      </c>
      <c r="E12" s="216">
        <f>99677715.3-82188.68</f>
        <v>99595526.61999999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>
        <v>15143.68</v>
      </c>
      <c r="E14" s="217"/>
    </row>
    <row r="15" spans="2:7">
      <c r="B15" s="103" t="s">
        <v>106</v>
      </c>
      <c r="C15" s="188" t="s">
        <v>11</v>
      </c>
      <c r="D15" s="272">
        <v>15143.68</v>
      </c>
      <c r="E15" s="217"/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574287.12</v>
      </c>
      <c r="E17" s="219">
        <f>E18</f>
        <v>283852.74</v>
      </c>
    </row>
    <row r="18" spans="2:6">
      <c r="B18" s="103" t="s">
        <v>4</v>
      </c>
      <c r="C18" s="188" t="s">
        <v>11</v>
      </c>
      <c r="D18" s="273">
        <v>574287.12</v>
      </c>
      <c r="E18" s="218">
        <v>283852.74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88922167.920000002</v>
      </c>
      <c r="E21" s="145">
        <f>E11-E17</f>
        <v>99311673.879999995</v>
      </c>
      <c r="F21" s="74"/>
    </row>
    <row r="22" spans="2:6">
      <c r="B22" s="3"/>
      <c r="C22" s="7"/>
      <c r="D22" s="8"/>
      <c r="E22" s="250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97301210.560000002</v>
      </c>
      <c r="E26" s="206">
        <f>D21</f>
        <v>88922167.920000002</v>
      </c>
    </row>
    <row r="27" spans="2:6">
      <c r="B27" s="9" t="s">
        <v>17</v>
      </c>
      <c r="C27" s="10" t="s">
        <v>111</v>
      </c>
      <c r="D27" s="285">
        <v>-5076833.1499999994</v>
      </c>
      <c r="E27" s="240">
        <v>-3876310.4800000004</v>
      </c>
      <c r="F27" s="70"/>
    </row>
    <row r="28" spans="2:6">
      <c r="B28" s="9" t="s">
        <v>18</v>
      </c>
      <c r="C28" s="10" t="s">
        <v>19</v>
      </c>
      <c r="D28" s="285">
        <v>27189.3</v>
      </c>
      <c r="E28" s="241">
        <v>111254.92</v>
      </c>
      <c r="F28" s="70"/>
    </row>
    <row r="29" spans="2:6">
      <c r="B29" s="101" t="s">
        <v>4</v>
      </c>
      <c r="C29" s="6" t="s">
        <v>20</v>
      </c>
      <c r="D29" s="286">
        <v>27189.3</v>
      </c>
      <c r="E29" s="242">
        <v>23607.23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>
        <v>87647.69</v>
      </c>
      <c r="F31" s="70"/>
    </row>
    <row r="32" spans="2:6">
      <c r="B32" s="89" t="s">
        <v>23</v>
      </c>
      <c r="C32" s="11" t="s">
        <v>24</v>
      </c>
      <c r="D32" s="285">
        <v>5104022.4499999993</v>
      </c>
      <c r="E32" s="241">
        <v>3987565.4000000004</v>
      </c>
      <c r="F32" s="70"/>
    </row>
    <row r="33" spans="2:6">
      <c r="B33" s="101" t="s">
        <v>4</v>
      </c>
      <c r="C33" s="6" t="s">
        <v>25</v>
      </c>
      <c r="D33" s="286">
        <v>4900357.6499999994</v>
      </c>
      <c r="E33" s="242">
        <v>3761244.02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69022.8</v>
      </c>
      <c r="E35" s="242">
        <v>73862.87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134642</v>
      </c>
      <c r="E39" s="243">
        <v>152458.51</v>
      </c>
      <c r="F39" s="70"/>
    </row>
    <row r="40" spans="2:6" ht="13.5" thickBot="1">
      <c r="B40" s="94" t="s">
        <v>35</v>
      </c>
      <c r="C40" s="95" t="s">
        <v>36</v>
      </c>
      <c r="D40" s="288">
        <v>-10427467.9</v>
      </c>
      <c r="E40" s="245">
        <v>14265816.439999999</v>
      </c>
    </row>
    <row r="41" spans="2:6" ht="13.5" thickBot="1">
      <c r="B41" s="96" t="s">
        <v>37</v>
      </c>
      <c r="C41" s="97" t="s">
        <v>38</v>
      </c>
      <c r="D41" s="289">
        <v>81796909.50999999</v>
      </c>
      <c r="E41" s="145">
        <f>E26+E27+E40</f>
        <v>99311673.879999995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7036308.9261999996</v>
      </c>
      <c r="E47" s="300">
        <v>6394336.3698000005</v>
      </c>
    </row>
    <row r="48" spans="2:6">
      <c r="B48" s="120" t="s">
        <v>6</v>
      </c>
      <c r="C48" s="22" t="s">
        <v>41</v>
      </c>
      <c r="D48" s="299">
        <v>6619105.1206999999</v>
      </c>
      <c r="E48" s="300">
        <v>6134968.8398000002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13.8284</v>
      </c>
      <c r="E50" s="300">
        <v>13.9064</v>
      </c>
    </row>
    <row r="51" spans="2:5">
      <c r="B51" s="99" t="s">
        <v>6</v>
      </c>
      <c r="C51" s="15" t="s">
        <v>114</v>
      </c>
      <c r="D51" s="299">
        <v>9.6153999999999993</v>
      </c>
      <c r="E51" s="72">
        <v>13.903499999999999</v>
      </c>
    </row>
    <row r="52" spans="2:5" ht="12.75" customHeight="1">
      <c r="B52" s="99" t="s">
        <v>8</v>
      </c>
      <c r="C52" s="15" t="s">
        <v>115</v>
      </c>
      <c r="D52" s="299">
        <v>14.222899999999999</v>
      </c>
      <c r="E52" s="72">
        <v>16.274100000000001</v>
      </c>
    </row>
    <row r="53" spans="2:5" ht="13.5" thickBot="1">
      <c r="B53" s="100" t="s">
        <v>9</v>
      </c>
      <c r="C53" s="17" t="s">
        <v>41</v>
      </c>
      <c r="D53" s="297">
        <v>12.357699999999999</v>
      </c>
      <c r="E53" s="246">
        <v>16.187799999999999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99595526.61999999</v>
      </c>
      <c r="E58" s="31">
        <f>D58/E21</f>
        <v>1.0028582011450433</v>
      </c>
    </row>
    <row r="59" spans="2:5" ht="25.5">
      <c r="B59" s="180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178" t="s">
        <v>6</v>
      </c>
      <c r="C60" s="179" t="s">
        <v>45</v>
      </c>
      <c r="D60" s="75">
        <v>0</v>
      </c>
      <c r="E60" s="76">
        <v>0</v>
      </c>
    </row>
    <row r="61" spans="2:5">
      <c r="B61" s="178" t="s">
        <v>8</v>
      </c>
      <c r="C61" s="179" t="s">
        <v>46</v>
      </c>
      <c r="D61" s="75">
        <v>0</v>
      </c>
      <c r="E61" s="76">
        <v>0</v>
      </c>
    </row>
    <row r="62" spans="2:5">
      <c r="B62" s="178" t="s">
        <v>9</v>
      </c>
      <c r="C62" s="179" t="s">
        <v>47</v>
      </c>
      <c r="D62" s="75">
        <v>0</v>
      </c>
      <c r="E62" s="76">
        <v>0</v>
      </c>
    </row>
    <row r="63" spans="2:5">
      <c r="B63" s="178" t="s">
        <v>29</v>
      </c>
      <c r="C63" s="179" t="s">
        <v>48</v>
      </c>
      <c r="D63" s="75">
        <v>0</v>
      </c>
      <c r="E63" s="76">
        <v>0</v>
      </c>
    </row>
    <row r="64" spans="2:5">
      <c r="B64" s="180" t="s">
        <v>31</v>
      </c>
      <c r="C64" s="181" t="s">
        <v>49</v>
      </c>
      <c r="D64" s="77">
        <f>99677715.3-82188.68</f>
        <v>99595526.61999999</v>
      </c>
      <c r="E64" s="78">
        <f>D64/E21</f>
        <v>1.0028582011450433</v>
      </c>
    </row>
    <row r="65" spans="2:5">
      <c r="B65" s="180" t="s">
        <v>33</v>
      </c>
      <c r="C65" s="181" t="s">
        <v>118</v>
      </c>
      <c r="D65" s="77">
        <v>0</v>
      </c>
      <c r="E65" s="78">
        <v>0</v>
      </c>
    </row>
    <row r="66" spans="2:5">
      <c r="B66" s="180" t="s">
        <v>50</v>
      </c>
      <c r="C66" s="181" t="s">
        <v>51</v>
      </c>
      <c r="D66" s="77">
        <v>0</v>
      </c>
      <c r="E66" s="78">
        <v>0</v>
      </c>
    </row>
    <row r="67" spans="2:5">
      <c r="B67" s="178" t="s">
        <v>52</v>
      </c>
      <c r="C67" s="179" t="s">
        <v>53</v>
      </c>
      <c r="D67" s="75">
        <v>0</v>
      </c>
      <c r="E67" s="76">
        <v>0</v>
      </c>
    </row>
    <row r="68" spans="2:5">
      <c r="B68" s="178" t="s">
        <v>54</v>
      </c>
      <c r="C68" s="179" t="s">
        <v>55</v>
      </c>
      <c r="D68" s="75">
        <v>0</v>
      </c>
      <c r="E68" s="76">
        <v>0</v>
      </c>
    </row>
    <row r="69" spans="2:5">
      <c r="B69" s="178" t="s">
        <v>56</v>
      </c>
      <c r="C69" s="179" t="s">
        <v>57</v>
      </c>
      <c r="D69" s="213">
        <v>0</v>
      </c>
      <c r="E69" s="76">
        <v>0</v>
      </c>
    </row>
    <row r="70" spans="2:5">
      <c r="B70" s="208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f>D72/E21</f>
        <v>0</v>
      </c>
    </row>
    <row r="73" spans="2:5">
      <c r="B73" s="129" t="s">
        <v>62</v>
      </c>
      <c r="C73" s="24" t="s">
        <v>65</v>
      </c>
      <c r="D73" s="25">
        <f>E17</f>
        <v>283852.74</v>
      </c>
      <c r="E73" s="26">
        <f>D73/E21</f>
        <v>2.8582011450434732E-3</v>
      </c>
    </row>
    <row r="74" spans="2:5">
      <c r="B74" s="127" t="s">
        <v>64</v>
      </c>
      <c r="C74" s="118" t="s">
        <v>66</v>
      </c>
      <c r="D74" s="119">
        <f>D58+D72-D73</f>
        <v>99311673.879999995</v>
      </c>
      <c r="E74" s="65">
        <f>E58+E72-E73</f>
        <v>0.99999999999999989</v>
      </c>
    </row>
    <row r="75" spans="2:5">
      <c r="B75" s="178" t="s">
        <v>4</v>
      </c>
      <c r="C75" s="179" t="s">
        <v>67</v>
      </c>
      <c r="D75" s="75">
        <f>D74</f>
        <v>99311673.879999995</v>
      </c>
      <c r="E75" s="76">
        <f>E74</f>
        <v>0.99999999999999989</v>
      </c>
    </row>
    <row r="76" spans="2:5">
      <c r="B76" s="178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82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5" right="0.75" top="0.52" bottom="0.51" header="0.5" footer="0.5"/>
  <pageSetup paperSize="9"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A1:G81"/>
  <sheetViews>
    <sheetView topLeftCell="A19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71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11437658.059999999</v>
      </c>
      <c r="E11" s="211">
        <f>SUM(E12:E14)</f>
        <v>12203266.25</v>
      </c>
    </row>
    <row r="12" spans="2:7">
      <c r="B12" s="103" t="s">
        <v>4</v>
      </c>
      <c r="C12" s="188" t="s">
        <v>5</v>
      </c>
      <c r="D12" s="271">
        <v>11436054.02</v>
      </c>
      <c r="E12" s="216">
        <v>12203266.25</v>
      </c>
    </row>
    <row r="13" spans="2:7">
      <c r="B13" s="103" t="s">
        <v>6</v>
      </c>
      <c r="C13" s="188" t="s">
        <v>7</v>
      </c>
      <c r="D13" s="272">
        <v>1604.04</v>
      </c>
      <c r="E13" s="217"/>
    </row>
    <row r="14" spans="2:7">
      <c r="B14" s="103" t="s">
        <v>8</v>
      </c>
      <c r="C14" s="188" t="s">
        <v>10</v>
      </c>
      <c r="D14" s="272"/>
      <c r="E14" s="217"/>
    </row>
    <row r="15" spans="2:7">
      <c r="B15" s="103" t="s">
        <v>106</v>
      </c>
      <c r="C15" s="188" t="s">
        <v>11</v>
      </c>
      <c r="D15" s="272"/>
      <c r="E15" s="217"/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18468.330000000002</v>
      </c>
      <c r="E17" s="219">
        <f>E18</f>
        <v>32172.66</v>
      </c>
    </row>
    <row r="18" spans="2:6">
      <c r="B18" s="103" t="s">
        <v>4</v>
      </c>
      <c r="C18" s="188" t="s">
        <v>11</v>
      </c>
      <c r="D18" s="273">
        <v>18468.330000000002</v>
      </c>
      <c r="E18" s="218">
        <v>32172.66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11419189.729999999</v>
      </c>
      <c r="E21" s="145">
        <f>E11-E17</f>
        <v>12171093.59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11876372.369999999</v>
      </c>
      <c r="E26" s="206">
        <f>D21</f>
        <v>11419189.729999999</v>
      </c>
    </row>
    <row r="27" spans="2:6">
      <c r="B27" s="9" t="s">
        <v>17</v>
      </c>
      <c r="C27" s="10" t="s">
        <v>111</v>
      </c>
      <c r="D27" s="285">
        <v>-627890.02</v>
      </c>
      <c r="E27" s="240">
        <v>-264216.18999999994</v>
      </c>
      <c r="F27" s="70"/>
    </row>
    <row r="28" spans="2:6">
      <c r="B28" s="9" t="s">
        <v>18</v>
      </c>
      <c r="C28" s="10" t="s">
        <v>19</v>
      </c>
      <c r="D28" s="285">
        <v>269625.69999999995</v>
      </c>
      <c r="E28" s="241">
        <v>357353.75</v>
      </c>
      <c r="F28" s="70"/>
    </row>
    <row r="29" spans="2:6">
      <c r="B29" s="101" t="s">
        <v>4</v>
      </c>
      <c r="C29" s="6" t="s">
        <v>20</v>
      </c>
      <c r="D29" s="286">
        <v>5831.1</v>
      </c>
      <c r="E29" s="242">
        <v>201494.01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263794.59999999998</v>
      </c>
      <c r="E31" s="242">
        <v>155859.74</v>
      </c>
      <c r="F31" s="70"/>
    </row>
    <row r="32" spans="2:6">
      <c r="B32" s="89" t="s">
        <v>23</v>
      </c>
      <c r="C32" s="11" t="s">
        <v>24</v>
      </c>
      <c r="D32" s="285">
        <v>897515.72</v>
      </c>
      <c r="E32" s="241">
        <v>621569.93999999994</v>
      </c>
      <c r="F32" s="70"/>
    </row>
    <row r="33" spans="2:6">
      <c r="B33" s="101" t="s">
        <v>4</v>
      </c>
      <c r="C33" s="6" t="s">
        <v>25</v>
      </c>
      <c r="D33" s="286">
        <v>774631.28</v>
      </c>
      <c r="E33" s="242">
        <v>432858.38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8991.32</v>
      </c>
      <c r="E35" s="242">
        <v>9892.43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113893.12</v>
      </c>
      <c r="E39" s="243">
        <v>178819.13</v>
      </c>
      <c r="F39" s="70"/>
    </row>
    <row r="40" spans="2:6" ht="13.5" thickBot="1">
      <c r="B40" s="94" t="s">
        <v>35</v>
      </c>
      <c r="C40" s="95" t="s">
        <v>36</v>
      </c>
      <c r="D40" s="288">
        <v>-296576.55</v>
      </c>
      <c r="E40" s="245">
        <v>1016120.05</v>
      </c>
    </row>
    <row r="41" spans="2:6" ht="13.5" thickBot="1">
      <c r="B41" s="96" t="s">
        <v>37</v>
      </c>
      <c r="C41" s="97" t="s">
        <v>38</v>
      </c>
      <c r="D41" s="289">
        <v>10951905.799999999</v>
      </c>
      <c r="E41" s="145">
        <f>E26+E27+E40</f>
        <v>12171093.59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721664.47169999999</v>
      </c>
      <c r="E47" s="300">
        <v>659862.69909999997</v>
      </c>
    </row>
    <row r="48" spans="2:6">
      <c r="B48" s="120" t="s">
        <v>6</v>
      </c>
      <c r="C48" s="22" t="s">
        <v>41</v>
      </c>
      <c r="D48" s="299">
        <v>681275.41440000001</v>
      </c>
      <c r="E48" s="300">
        <v>645256.47609999997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16.456900000000001</v>
      </c>
      <c r="E50" s="300">
        <v>17.305399999999999</v>
      </c>
    </row>
    <row r="51" spans="2:5">
      <c r="B51" s="99" t="s">
        <v>6</v>
      </c>
      <c r="C51" s="15" t="s">
        <v>114</v>
      </c>
      <c r="D51" s="299">
        <v>13.7034</v>
      </c>
      <c r="E51" s="72">
        <v>17.3018</v>
      </c>
    </row>
    <row r="52" spans="2:5" ht="12.75" customHeight="1">
      <c r="B52" s="99" t="s">
        <v>8</v>
      </c>
      <c r="C52" s="15" t="s">
        <v>115</v>
      </c>
      <c r="D52" s="299">
        <v>17.4588</v>
      </c>
      <c r="E52" s="72">
        <v>18.862400000000001</v>
      </c>
    </row>
    <row r="53" spans="2:5" ht="13.5" thickBot="1">
      <c r="B53" s="100" t="s">
        <v>9</v>
      </c>
      <c r="C53" s="17" t="s">
        <v>41</v>
      </c>
      <c r="D53" s="297">
        <v>16.075600000000001</v>
      </c>
      <c r="E53" s="246">
        <v>18.862400000000001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12203266.25</v>
      </c>
      <c r="E58" s="31">
        <f>D58/E21</f>
        <v>1.0026433664125658</v>
      </c>
    </row>
    <row r="59" spans="2:5" ht="25.5">
      <c r="B59" s="180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178" t="s">
        <v>6</v>
      </c>
      <c r="C60" s="179" t="s">
        <v>45</v>
      </c>
      <c r="D60" s="75">
        <v>0</v>
      </c>
      <c r="E60" s="76">
        <v>0</v>
      </c>
    </row>
    <row r="61" spans="2:5">
      <c r="B61" s="178" t="s">
        <v>8</v>
      </c>
      <c r="C61" s="179" t="s">
        <v>46</v>
      </c>
      <c r="D61" s="75">
        <v>0</v>
      </c>
      <c r="E61" s="76">
        <v>0</v>
      </c>
    </row>
    <row r="62" spans="2:5">
      <c r="B62" s="178" t="s">
        <v>9</v>
      </c>
      <c r="C62" s="179" t="s">
        <v>47</v>
      </c>
      <c r="D62" s="75">
        <v>0</v>
      </c>
      <c r="E62" s="76">
        <v>0</v>
      </c>
    </row>
    <row r="63" spans="2:5">
      <c r="B63" s="178" t="s">
        <v>29</v>
      </c>
      <c r="C63" s="179" t="s">
        <v>48</v>
      </c>
      <c r="D63" s="75">
        <v>0</v>
      </c>
      <c r="E63" s="76">
        <v>0</v>
      </c>
    </row>
    <row r="64" spans="2:5">
      <c r="B64" s="180" t="s">
        <v>31</v>
      </c>
      <c r="C64" s="181" t="s">
        <v>49</v>
      </c>
      <c r="D64" s="77">
        <f>E12</f>
        <v>12203266.25</v>
      </c>
      <c r="E64" s="78">
        <f>D64/E21</f>
        <v>1.0026433664125658</v>
      </c>
    </row>
    <row r="65" spans="2:5">
      <c r="B65" s="180" t="s">
        <v>33</v>
      </c>
      <c r="C65" s="181" t="s">
        <v>118</v>
      </c>
      <c r="D65" s="77">
        <v>0</v>
      </c>
      <c r="E65" s="78">
        <v>0</v>
      </c>
    </row>
    <row r="66" spans="2:5">
      <c r="B66" s="180" t="s">
        <v>50</v>
      </c>
      <c r="C66" s="181" t="s">
        <v>51</v>
      </c>
      <c r="D66" s="77">
        <v>0</v>
      </c>
      <c r="E66" s="78">
        <v>0</v>
      </c>
    </row>
    <row r="67" spans="2:5">
      <c r="B67" s="178" t="s">
        <v>52</v>
      </c>
      <c r="C67" s="179" t="s">
        <v>53</v>
      </c>
      <c r="D67" s="75">
        <v>0</v>
      </c>
      <c r="E67" s="76">
        <v>0</v>
      </c>
    </row>
    <row r="68" spans="2:5">
      <c r="B68" s="178" t="s">
        <v>54</v>
      </c>
      <c r="C68" s="179" t="s">
        <v>55</v>
      </c>
      <c r="D68" s="75">
        <v>0</v>
      </c>
      <c r="E68" s="76">
        <v>0</v>
      </c>
    </row>
    <row r="69" spans="2:5">
      <c r="B69" s="178" t="s">
        <v>56</v>
      </c>
      <c r="C69" s="179" t="s">
        <v>57</v>
      </c>
      <c r="D69" s="213">
        <v>0</v>
      </c>
      <c r="E69" s="76">
        <v>0</v>
      </c>
    </row>
    <row r="70" spans="2:5">
      <c r="B70" s="208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0</v>
      </c>
      <c r="E71" s="65">
        <f>D71/E21</f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32172.66</v>
      </c>
      <c r="E73" s="26">
        <f>D73/E21</f>
        <v>2.6433664125657258E-3</v>
      </c>
    </row>
    <row r="74" spans="2:5">
      <c r="B74" s="127" t="s">
        <v>64</v>
      </c>
      <c r="C74" s="118" t="s">
        <v>66</v>
      </c>
      <c r="D74" s="119">
        <f>D58+D72-D73</f>
        <v>12171093.59</v>
      </c>
      <c r="E74" s="65">
        <f>E58+E71+E72-E73</f>
        <v>1</v>
      </c>
    </row>
    <row r="75" spans="2:5">
      <c r="B75" s="178" t="s">
        <v>4</v>
      </c>
      <c r="C75" s="179" t="s">
        <v>67</v>
      </c>
      <c r="D75" s="75">
        <f>D74</f>
        <v>12171093.59</v>
      </c>
      <c r="E75" s="76">
        <f>E74</f>
        <v>1</v>
      </c>
    </row>
    <row r="76" spans="2:5">
      <c r="B76" s="178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82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56999999999999995" bottom="0.43" header="0.5" footer="0.5"/>
  <pageSetup paperSize="9" scale="7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72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11628554.66</v>
      </c>
      <c r="E11" s="211">
        <f>SUM(E12:E14)</f>
        <v>11094057.41</v>
      </c>
    </row>
    <row r="12" spans="2:7">
      <c r="B12" s="103" t="s">
        <v>4</v>
      </c>
      <c r="C12" s="188" t="s">
        <v>5</v>
      </c>
      <c r="D12" s="271">
        <v>11628554.66</v>
      </c>
      <c r="E12" s="216">
        <v>11094057.41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/>
      <c r="E14" s="217"/>
    </row>
    <row r="15" spans="2:7">
      <c r="B15" s="103" t="s">
        <v>106</v>
      </c>
      <c r="C15" s="188" t="s">
        <v>11</v>
      </c>
      <c r="D15" s="272"/>
      <c r="E15" s="217"/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96763.82</v>
      </c>
      <c r="E17" s="219">
        <f>E18</f>
        <v>27252.7</v>
      </c>
    </row>
    <row r="18" spans="2:6">
      <c r="B18" s="103" t="s">
        <v>4</v>
      </c>
      <c r="C18" s="188" t="s">
        <v>11</v>
      </c>
      <c r="D18" s="273">
        <v>96763.82</v>
      </c>
      <c r="E18" s="218">
        <v>27252.7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11531790.84</v>
      </c>
      <c r="E21" s="145">
        <f>E11-E17</f>
        <v>11066804.710000001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11565329.309999999</v>
      </c>
      <c r="E26" s="206">
        <f>D21</f>
        <v>11531790.84</v>
      </c>
    </row>
    <row r="27" spans="2:6">
      <c r="B27" s="9" t="s">
        <v>17</v>
      </c>
      <c r="C27" s="10" t="s">
        <v>111</v>
      </c>
      <c r="D27" s="285">
        <v>-960805.05</v>
      </c>
      <c r="E27" s="240">
        <v>-442100.62</v>
      </c>
      <c r="F27" s="70"/>
    </row>
    <row r="28" spans="2:6">
      <c r="B28" s="9" t="s">
        <v>18</v>
      </c>
      <c r="C28" s="10" t="s">
        <v>19</v>
      </c>
      <c r="D28" s="285">
        <v>394.16</v>
      </c>
      <c r="E28" s="241">
        <v>155211.4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394.16</v>
      </c>
      <c r="E31" s="242">
        <v>155211.4</v>
      </c>
      <c r="F31" s="70"/>
    </row>
    <row r="32" spans="2:6">
      <c r="B32" s="89" t="s">
        <v>23</v>
      </c>
      <c r="C32" s="11" t="s">
        <v>24</v>
      </c>
      <c r="D32" s="285">
        <v>961199.21000000008</v>
      </c>
      <c r="E32" s="241">
        <v>597312.02</v>
      </c>
      <c r="F32" s="70"/>
    </row>
    <row r="33" spans="2:6">
      <c r="B33" s="101" t="s">
        <v>4</v>
      </c>
      <c r="C33" s="6" t="s">
        <v>25</v>
      </c>
      <c r="D33" s="286">
        <v>934173.19000000006</v>
      </c>
      <c r="E33" s="242">
        <v>587350.06000000006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8922.2900000000009</v>
      </c>
      <c r="E35" s="242">
        <v>9194.61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18103.73</v>
      </c>
      <c r="E39" s="243">
        <v>767.35</v>
      </c>
      <c r="F39" s="70"/>
    </row>
    <row r="40" spans="2:6" ht="13.5" thickBot="1">
      <c r="B40" s="94" t="s">
        <v>35</v>
      </c>
      <c r="C40" s="95" t="s">
        <v>36</v>
      </c>
      <c r="D40" s="288">
        <v>-482537.87</v>
      </c>
      <c r="E40" s="245">
        <v>-22885.51</v>
      </c>
    </row>
    <row r="41" spans="2:6" ht="13.5" thickBot="1">
      <c r="B41" s="96" t="s">
        <v>37</v>
      </c>
      <c r="C41" s="97" t="s">
        <v>38</v>
      </c>
      <c r="D41" s="289">
        <v>10121986.389999999</v>
      </c>
      <c r="E41" s="145">
        <f>E26+E27+E40</f>
        <v>11066804.710000001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962894.64320000005</v>
      </c>
      <c r="E47" s="300">
        <v>849395.17279999994</v>
      </c>
    </row>
    <row r="48" spans="2:6">
      <c r="B48" s="120" t="s">
        <v>6</v>
      </c>
      <c r="C48" s="22" t="s">
        <v>41</v>
      </c>
      <c r="D48" s="299">
        <v>876790.76379999996</v>
      </c>
      <c r="E48" s="300">
        <v>816235.5318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12.010999999999999</v>
      </c>
      <c r="E50" s="300">
        <v>13.576499999999999</v>
      </c>
    </row>
    <row r="51" spans="2:5">
      <c r="B51" s="99" t="s">
        <v>6</v>
      </c>
      <c r="C51" s="15" t="s">
        <v>114</v>
      </c>
      <c r="D51" s="299">
        <v>9.7369000000000003</v>
      </c>
      <c r="E51" s="72">
        <v>13.101900000000001</v>
      </c>
    </row>
    <row r="52" spans="2:5" ht="12.75" customHeight="1">
      <c r="B52" s="99" t="s">
        <v>8</v>
      </c>
      <c r="C52" s="15" t="s">
        <v>115</v>
      </c>
      <c r="D52" s="299">
        <v>12.2241</v>
      </c>
      <c r="E52" s="72">
        <v>14.5459</v>
      </c>
    </row>
    <row r="53" spans="2:5" ht="13.5" thickBot="1">
      <c r="B53" s="100" t="s">
        <v>9</v>
      </c>
      <c r="C53" s="17" t="s">
        <v>41</v>
      </c>
      <c r="D53" s="297">
        <v>11.5444</v>
      </c>
      <c r="E53" s="246">
        <v>13.558299999999999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11094057.41</v>
      </c>
      <c r="E58" s="31">
        <f>D58/E21</f>
        <v>1.0024625626559918</v>
      </c>
    </row>
    <row r="59" spans="2:5" ht="25.5">
      <c r="B59" s="180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178" t="s">
        <v>6</v>
      </c>
      <c r="C60" s="179" t="s">
        <v>45</v>
      </c>
      <c r="D60" s="75">
        <v>0</v>
      </c>
      <c r="E60" s="76">
        <v>0</v>
      </c>
    </row>
    <row r="61" spans="2:5">
      <c r="B61" s="178" t="s">
        <v>8</v>
      </c>
      <c r="C61" s="179" t="s">
        <v>46</v>
      </c>
      <c r="D61" s="75">
        <v>0</v>
      </c>
      <c r="E61" s="76">
        <v>0</v>
      </c>
    </row>
    <row r="62" spans="2:5">
      <c r="B62" s="178" t="s">
        <v>9</v>
      </c>
      <c r="C62" s="179" t="s">
        <v>47</v>
      </c>
      <c r="D62" s="75">
        <v>0</v>
      </c>
      <c r="E62" s="76">
        <v>0</v>
      </c>
    </row>
    <row r="63" spans="2:5">
      <c r="B63" s="178" t="s">
        <v>29</v>
      </c>
      <c r="C63" s="179" t="s">
        <v>48</v>
      </c>
      <c r="D63" s="75">
        <v>0</v>
      </c>
      <c r="E63" s="76">
        <v>0</v>
      </c>
    </row>
    <row r="64" spans="2:5">
      <c r="B64" s="180" t="s">
        <v>31</v>
      </c>
      <c r="C64" s="181" t="s">
        <v>49</v>
      </c>
      <c r="D64" s="77">
        <f>E12</f>
        <v>11094057.41</v>
      </c>
      <c r="E64" s="78">
        <f>D64/E21</f>
        <v>1.0024625626559918</v>
      </c>
    </row>
    <row r="65" spans="2:5">
      <c r="B65" s="180" t="s">
        <v>33</v>
      </c>
      <c r="C65" s="181" t="s">
        <v>118</v>
      </c>
      <c r="D65" s="77">
        <v>0</v>
      </c>
      <c r="E65" s="78">
        <v>0</v>
      </c>
    </row>
    <row r="66" spans="2:5">
      <c r="B66" s="180" t="s">
        <v>50</v>
      </c>
      <c r="C66" s="181" t="s">
        <v>51</v>
      </c>
      <c r="D66" s="77">
        <v>0</v>
      </c>
      <c r="E66" s="78">
        <v>0</v>
      </c>
    </row>
    <row r="67" spans="2:5">
      <c r="B67" s="178" t="s">
        <v>52</v>
      </c>
      <c r="C67" s="179" t="s">
        <v>53</v>
      </c>
      <c r="D67" s="75">
        <v>0</v>
      </c>
      <c r="E67" s="76">
        <v>0</v>
      </c>
    </row>
    <row r="68" spans="2:5">
      <c r="B68" s="178" t="s">
        <v>54</v>
      </c>
      <c r="C68" s="179" t="s">
        <v>55</v>
      </c>
      <c r="D68" s="75">
        <v>0</v>
      </c>
      <c r="E68" s="76">
        <v>0</v>
      </c>
    </row>
    <row r="69" spans="2:5">
      <c r="B69" s="178" t="s">
        <v>56</v>
      </c>
      <c r="C69" s="179" t="s">
        <v>57</v>
      </c>
      <c r="D69" s="213">
        <v>0</v>
      </c>
      <c r="E69" s="76">
        <v>0</v>
      </c>
    </row>
    <row r="70" spans="2:5">
      <c r="B70" s="208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f>D72/E21</f>
        <v>0</v>
      </c>
    </row>
    <row r="73" spans="2:5">
      <c r="B73" s="129" t="s">
        <v>62</v>
      </c>
      <c r="C73" s="24" t="s">
        <v>65</v>
      </c>
      <c r="D73" s="25">
        <f>E17</f>
        <v>27252.7</v>
      </c>
      <c r="E73" s="26">
        <f>D73/E21</f>
        <v>2.4625626559917854E-3</v>
      </c>
    </row>
    <row r="74" spans="2:5">
      <c r="B74" s="127" t="s">
        <v>64</v>
      </c>
      <c r="C74" s="118" t="s">
        <v>66</v>
      </c>
      <c r="D74" s="119">
        <f>D58-D73+D72</f>
        <v>11066804.710000001</v>
      </c>
      <c r="E74" s="65">
        <f>E58+E72-E73</f>
        <v>1</v>
      </c>
    </row>
    <row r="75" spans="2:5">
      <c r="B75" s="178" t="s">
        <v>4</v>
      </c>
      <c r="C75" s="179" t="s">
        <v>67</v>
      </c>
      <c r="D75" s="75">
        <f>D74</f>
        <v>11066804.710000001</v>
      </c>
      <c r="E75" s="76">
        <f>E74</f>
        <v>1</v>
      </c>
    </row>
    <row r="76" spans="2:5">
      <c r="B76" s="178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82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47" header="0.5" footer="0.5"/>
  <pageSetup paperSize="9"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73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1830177.17</v>
      </c>
      <c r="E11" s="211">
        <f>SUM(E12:E14)</f>
        <v>1936253.49</v>
      </c>
    </row>
    <row r="12" spans="2:7">
      <c r="B12" s="103" t="s">
        <v>4</v>
      </c>
      <c r="C12" s="188" t="s">
        <v>5</v>
      </c>
      <c r="D12" s="271">
        <f>1828239.13+1938.04</f>
        <v>1830177.17</v>
      </c>
      <c r="E12" s="216">
        <v>1932959.52</v>
      </c>
    </row>
    <row r="13" spans="2:7">
      <c r="B13" s="103" t="s">
        <v>6</v>
      </c>
      <c r="C13" s="188" t="s">
        <v>7</v>
      </c>
      <c r="D13" s="272"/>
      <c r="E13" s="217">
        <v>3293.97</v>
      </c>
    </row>
    <row r="14" spans="2:7">
      <c r="B14" s="103" t="s">
        <v>8</v>
      </c>
      <c r="C14" s="188" t="s">
        <v>10</v>
      </c>
      <c r="D14" s="272"/>
      <c r="E14" s="217"/>
    </row>
    <row r="15" spans="2:7">
      <c r="B15" s="103" t="s">
        <v>106</v>
      </c>
      <c r="C15" s="188" t="s">
        <v>11</v>
      </c>
      <c r="D15" s="272"/>
      <c r="E15" s="217"/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3004.29</v>
      </c>
      <c r="E17" s="219">
        <f>E18</f>
        <v>3413.02</v>
      </c>
    </row>
    <row r="18" spans="2:6">
      <c r="B18" s="103" t="s">
        <v>4</v>
      </c>
      <c r="C18" s="188" t="s">
        <v>11</v>
      </c>
      <c r="D18" s="273">
        <v>3004.29</v>
      </c>
      <c r="E18" s="218">
        <v>3413.02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1827172.88</v>
      </c>
      <c r="E21" s="145">
        <f>E11-E17</f>
        <v>1932840.47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1948696.8</v>
      </c>
      <c r="E26" s="206">
        <f>D21</f>
        <v>1827172.88</v>
      </c>
    </row>
    <row r="27" spans="2:6">
      <c r="B27" s="9" t="s">
        <v>17</v>
      </c>
      <c r="C27" s="10" t="s">
        <v>111</v>
      </c>
      <c r="D27" s="285">
        <v>-72989.95</v>
      </c>
      <c r="E27" s="240">
        <v>-94401.069999999992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0.21</v>
      </c>
      <c r="F28" s="70"/>
    </row>
    <row r="29" spans="2:6">
      <c r="B29" s="101" t="s">
        <v>4</v>
      </c>
      <c r="C29" s="168" t="s">
        <v>20</v>
      </c>
      <c r="D29" s="286"/>
      <c r="E29" s="242"/>
      <c r="F29" s="70"/>
    </row>
    <row r="30" spans="2:6">
      <c r="B30" s="101" t="s">
        <v>6</v>
      </c>
      <c r="C30" s="168" t="s">
        <v>21</v>
      </c>
      <c r="D30" s="286"/>
      <c r="E30" s="242"/>
      <c r="F30" s="70"/>
    </row>
    <row r="31" spans="2:6">
      <c r="B31" s="101" t="s">
        <v>8</v>
      </c>
      <c r="C31" s="168" t="s">
        <v>22</v>
      </c>
      <c r="D31" s="286"/>
      <c r="E31" s="242">
        <v>0.21</v>
      </c>
      <c r="F31" s="70"/>
    </row>
    <row r="32" spans="2:6">
      <c r="B32" s="89" t="s">
        <v>23</v>
      </c>
      <c r="C32" s="11" t="s">
        <v>24</v>
      </c>
      <c r="D32" s="285">
        <v>72989.95</v>
      </c>
      <c r="E32" s="241">
        <v>94401.279999999999</v>
      </c>
      <c r="F32" s="70"/>
    </row>
    <row r="33" spans="2:6">
      <c r="B33" s="101" t="s">
        <v>4</v>
      </c>
      <c r="C33" s="168" t="s">
        <v>25</v>
      </c>
      <c r="D33" s="286">
        <v>58438.36</v>
      </c>
      <c r="E33" s="242">
        <v>81564.89</v>
      </c>
      <c r="F33" s="70"/>
    </row>
    <row r="34" spans="2:6">
      <c r="B34" s="101" t="s">
        <v>6</v>
      </c>
      <c r="C34" s="168" t="s">
        <v>26</v>
      </c>
      <c r="D34" s="286"/>
      <c r="E34" s="242"/>
      <c r="F34" s="70"/>
    </row>
    <row r="35" spans="2:6">
      <c r="B35" s="101" t="s">
        <v>8</v>
      </c>
      <c r="C35" s="168" t="s">
        <v>27</v>
      </c>
      <c r="D35" s="286">
        <v>14473.8</v>
      </c>
      <c r="E35" s="242">
        <v>12836.39</v>
      </c>
      <c r="F35" s="70"/>
    </row>
    <row r="36" spans="2:6">
      <c r="B36" s="101" t="s">
        <v>9</v>
      </c>
      <c r="C36" s="168" t="s">
        <v>28</v>
      </c>
      <c r="D36" s="286"/>
      <c r="E36" s="242"/>
      <c r="F36" s="70"/>
    </row>
    <row r="37" spans="2:6" ht="25.5">
      <c r="B37" s="101" t="s">
        <v>29</v>
      </c>
      <c r="C37" s="168" t="s">
        <v>30</v>
      </c>
      <c r="D37" s="286"/>
      <c r="E37" s="242"/>
      <c r="F37" s="70"/>
    </row>
    <row r="38" spans="2:6">
      <c r="B38" s="101" t="s">
        <v>31</v>
      </c>
      <c r="C38" s="168" t="s">
        <v>32</v>
      </c>
      <c r="D38" s="286"/>
      <c r="E38" s="242"/>
      <c r="F38" s="70"/>
    </row>
    <row r="39" spans="2:6">
      <c r="B39" s="102" t="s">
        <v>33</v>
      </c>
      <c r="C39" s="177" t="s">
        <v>34</v>
      </c>
      <c r="D39" s="287">
        <v>77.790000000000006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-312969.42</v>
      </c>
      <c r="E40" s="245">
        <v>200068.66</v>
      </c>
    </row>
    <row r="41" spans="2:6" ht="13.5" thickBot="1">
      <c r="B41" s="96" t="s">
        <v>37</v>
      </c>
      <c r="C41" s="97" t="s">
        <v>38</v>
      </c>
      <c r="D41" s="289">
        <v>1562737.4300000002</v>
      </c>
      <c r="E41" s="145">
        <f>E26+E27+E40</f>
        <v>1932840.4699999997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79" t="s">
        <v>40</v>
      </c>
      <c r="D47" s="299">
        <v>282730.88414400001</v>
      </c>
      <c r="E47" s="300">
        <v>261484.98209899999</v>
      </c>
    </row>
    <row r="48" spans="2:6">
      <c r="B48" s="120" t="s">
        <v>6</v>
      </c>
      <c r="C48" s="181" t="s">
        <v>41</v>
      </c>
      <c r="D48" s="299">
        <v>271078.81206299999</v>
      </c>
      <c r="E48" s="300">
        <v>248905.015484</v>
      </c>
    </row>
    <row r="49" spans="2:5">
      <c r="B49" s="117" t="s">
        <v>23</v>
      </c>
      <c r="C49" s="121" t="s">
        <v>113</v>
      </c>
      <c r="D49" s="302"/>
      <c r="E49" s="300"/>
    </row>
    <row r="50" spans="2:5">
      <c r="B50" s="99" t="s">
        <v>4</v>
      </c>
      <c r="C50" s="179" t="s">
        <v>40</v>
      </c>
      <c r="D50" s="299">
        <v>6.8924089999999998</v>
      </c>
      <c r="E50" s="300">
        <v>6.9876779999999998</v>
      </c>
    </row>
    <row r="51" spans="2:5">
      <c r="B51" s="99" t="s">
        <v>6</v>
      </c>
      <c r="C51" s="179" t="s">
        <v>114</v>
      </c>
      <c r="D51" s="299">
        <v>5.0300070000000003</v>
      </c>
      <c r="E51" s="300">
        <v>6.9865849999999998</v>
      </c>
    </row>
    <row r="52" spans="2:5" ht="12.75" customHeight="1">
      <c r="B52" s="99" t="s">
        <v>8</v>
      </c>
      <c r="C52" s="179" t="s">
        <v>115</v>
      </c>
      <c r="D52" s="299">
        <v>6.9272099999999996</v>
      </c>
      <c r="E52" s="300">
        <v>7.8149990000000003</v>
      </c>
    </row>
    <row r="53" spans="2:5" ht="13.5" thickBot="1">
      <c r="B53" s="100" t="s">
        <v>9</v>
      </c>
      <c r="C53" s="183" t="s">
        <v>41</v>
      </c>
      <c r="D53" s="297">
        <v>5.7648820000000001</v>
      </c>
      <c r="E53" s="246">
        <v>7.7653740000000004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D64+D69</f>
        <v>1932959.52</v>
      </c>
      <c r="E58" s="31">
        <f>D58/E21</f>
        <v>1.0000615932881414</v>
      </c>
    </row>
    <row r="59" spans="2:5" ht="25.5">
      <c r="B59" s="180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178" t="s">
        <v>6</v>
      </c>
      <c r="C60" s="179" t="s">
        <v>45</v>
      </c>
      <c r="D60" s="75">
        <v>0</v>
      </c>
      <c r="E60" s="76">
        <v>0</v>
      </c>
    </row>
    <row r="61" spans="2:5">
      <c r="B61" s="178" t="s">
        <v>8</v>
      </c>
      <c r="C61" s="179" t="s">
        <v>46</v>
      </c>
      <c r="D61" s="75">
        <v>0</v>
      </c>
      <c r="E61" s="76">
        <v>0</v>
      </c>
    </row>
    <row r="62" spans="2:5">
      <c r="B62" s="178" t="s">
        <v>9</v>
      </c>
      <c r="C62" s="179" t="s">
        <v>47</v>
      </c>
      <c r="D62" s="75">
        <v>0</v>
      </c>
      <c r="E62" s="76">
        <v>0</v>
      </c>
    </row>
    <row r="63" spans="2:5">
      <c r="B63" s="178" t="s">
        <v>29</v>
      </c>
      <c r="C63" s="179" t="s">
        <v>48</v>
      </c>
      <c r="D63" s="75">
        <v>0</v>
      </c>
      <c r="E63" s="76">
        <v>0</v>
      </c>
    </row>
    <row r="64" spans="2:5">
      <c r="B64" s="180" t="s">
        <v>31</v>
      </c>
      <c r="C64" s="181" t="s">
        <v>49</v>
      </c>
      <c r="D64" s="77">
        <f>E12</f>
        <v>1932959.52</v>
      </c>
      <c r="E64" s="78">
        <f>D64/E21</f>
        <v>1.0000615932881414</v>
      </c>
    </row>
    <row r="65" spans="2:5">
      <c r="B65" s="180" t="s">
        <v>33</v>
      </c>
      <c r="C65" s="181" t="s">
        <v>118</v>
      </c>
      <c r="D65" s="77">
        <v>0</v>
      </c>
      <c r="E65" s="78">
        <v>0</v>
      </c>
    </row>
    <row r="66" spans="2:5">
      <c r="B66" s="180" t="s">
        <v>50</v>
      </c>
      <c r="C66" s="181" t="s">
        <v>51</v>
      </c>
      <c r="D66" s="77">
        <v>0</v>
      </c>
      <c r="E66" s="78">
        <v>0</v>
      </c>
    </row>
    <row r="67" spans="2:5">
      <c r="B67" s="178" t="s">
        <v>52</v>
      </c>
      <c r="C67" s="179" t="s">
        <v>53</v>
      </c>
      <c r="D67" s="75">
        <v>0</v>
      </c>
      <c r="E67" s="76">
        <v>0</v>
      </c>
    </row>
    <row r="68" spans="2:5">
      <c r="B68" s="178" t="s">
        <v>54</v>
      </c>
      <c r="C68" s="179" t="s">
        <v>55</v>
      </c>
      <c r="D68" s="75">
        <v>0</v>
      </c>
      <c r="E68" s="76">
        <v>0</v>
      </c>
    </row>
    <row r="69" spans="2:5" ht="15">
      <c r="B69" s="178" t="s">
        <v>56</v>
      </c>
      <c r="C69" s="179" t="s">
        <v>57</v>
      </c>
      <c r="D69" s="324">
        <v>0</v>
      </c>
      <c r="E69" s="76">
        <f>D69/E21</f>
        <v>0</v>
      </c>
    </row>
    <row r="70" spans="2:5">
      <c r="B70" s="208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3293.97</v>
      </c>
      <c r="E71" s="65">
        <f>D71/E21</f>
        <v>1.7042120398068857E-3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f>D72/E21</f>
        <v>0</v>
      </c>
    </row>
    <row r="73" spans="2:5">
      <c r="B73" s="129" t="s">
        <v>62</v>
      </c>
      <c r="C73" s="24" t="s">
        <v>65</v>
      </c>
      <c r="D73" s="25">
        <f>E17</f>
        <v>3413.02</v>
      </c>
      <c r="E73" s="26">
        <f>D73/E21</f>
        <v>1.7658053279482502E-3</v>
      </c>
    </row>
    <row r="74" spans="2:5">
      <c r="B74" s="127" t="s">
        <v>64</v>
      </c>
      <c r="C74" s="118" t="s">
        <v>66</v>
      </c>
      <c r="D74" s="119">
        <f>D58+D72-D73+D71</f>
        <v>1932840.47</v>
      </c>
      <c r="E74" s="65">
        <f>E58+E72-E73+E71</f>
        <v>1</v>
      </c>
    </row>
    <row r="75" spans="2:5">
      <c r="B75" s="178" t="s">
        <v>4</v>
      </c>
      <c r="C75" s="179" t="s">
        <v>67</v>
      </c>
      <c r="D75" s="75">
        <f>D74</f>
        <v>1932840.47</v>
      </c>
      <c r="E75" s="76">
        <f>E74</f>
        <v>1</v>
      </c>
    </row>
    <row r="76" spans="2:5">
      <c r="B76" s="178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82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6999999999999995" bottom="0.4" header="0.5" footer="0.5"/>
  <pageSetup paperSize="9" scale="7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76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2816220.92</v>
      </c>
      <c r="E11" s="211">
        <f>SUM(E12:E14)</f>
        <v>2657797.67</v>
      </c>
    </row>
    <row r="12" spans="2:7">
      <c r="B12" s="103" t="s">
        <v>4</v>
      </c>
      <c r="C12" s="188" t="s">
        <v>5</v>
      </c>
      <c r="D12" s="271">
        <f>2811262.8+4958.12</f>
        <v>2816220.92</v>
      </c>
      <c r="E12" s="216">
        <v>2647246.31</v>
      </c>
    </row>
    <row r="13" spans="2:7">
      <c r="B13" s="103" t="s">
        <v>6</v>
      </c>
      <c r="C13" s="188" t="s">
        <v>7</v>
      </c>
      <c r="D13" s="272"/>
      <c r="E13" s="217">
        <v>5395.9</v>
      </c>
    </row>
    <row r="14" spans="2:7">
      <c r="B14" s="103" t="s">
        <v>8</v>
      </c>
      <c r="C14" s="188" t="s">
        <v>10</v>
      </c>
      <c r="D14" s="272"/>
      <c r="E14" s="217">
        <f>E15</f>
        <v>5155.46</v>
      </c>
    </row>
    <row r="15" spans="2:7">
      <c r="B15" s="103" t="s">
        <v>106</v>
      </c>
      <c r="C15" s="188" t="s">
        <v>11</v>
      </c>
      <c r="D15" s="272"/>
      <c r="E15" s="217">
        <v>5155.46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4562.12</v>
      </c>
      <c r="E17" s="219">
        <f>E18</f>
        <v>9480.31</v>
      </c>
    </row>
    <row r="18" spans="2:6">
      <c r="B18" s="103" t="s">
        <v>4</v>
      </c>
      <c r="C18" s="188" t="s">
        <v>11</v>
      </c>
      <c r="D18" s="273">
        <v>4562.12</v>
      </c>
      <c r="E18" s="218">
        <v>9480.31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2811658.8</v>
      </c>
      <c r="E21" s="145">
        <f>E11-E17</f>
        <v>2648317.36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3022330.41</v>
      </c>
      <c r="E26" s="206">
        <f>D21</f>
        <v>2811658.8</v>
      </c>
    </row>
    <row r="27" spans="2:6">
      <c r="B27" s="9" t="s">
        <v>17</v>
      </c>
      <c r="C27" s="10" t="s">
        <v>111</v>
      </c>
      <c r="D27" s="285">
        <v>-163574.39999999999</v>
      </c>
      <c r="E27" s="240">
        <v>-154191.19999999998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163574.39999999999</v>
      </c>
      <c r="E32" s="241">
        <v>154191.19999999998</v>
      </c>
      <c r="F32" s="70"/>
    </row>
    <row r="33" spans="2:6">
      <c r="B33" s="101" t="s">
        <v>4</v>
      </c>
      <c r="C33" s="6" t="s">
        <v>25</v>
      </c>
      <c r="D33" s="286">
        <v>148857.09</v>
      </c>
      <c r="E33" s="242">
        <v>141824.76999999999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14671.98</v>
      </c>
      <c r="E35" s="242">
        <v>12365.47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45.33</v>
      </c>
      <c r="E39" s="243">
        <v>0.96</v>
      </c>
      <c r="F39" s="70"/>
    </row>
    <row r="40" spans="2:6" ht="13.5" thickBot="1">
      <c r="B40" s="94" t="s">
        <v>35</v>
      </c>
      <c r="C40" s="95" t="s">
        <v>36</v>
      </c>
      <c r="D40" s="288">
        <v>-112742.65</v>
      </c>
      <c r="E40" s="245">
        <v>-9150.24</v>
      </c>
    </row>
    <row r="41" spans="2:6" ht="13.5" thickBot="1">
      <c r="B41" s="96" t="s">
        <v>37</v>
      </c>
      <c r="C41" s="97" t="s">
        <v>38</v>
      </c>
      <c r="D41" s="289">
        <v>2746013.3600000003</v>
      </c>
      <c r="E41" s="145">
        <f>E26+E27+E40</f>
        <v>2648317.3599999994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286019.73003599996</v>
      </c>
      <c r="E47" s="300">
        <v>258386.366056</v>
      </c>
    </row>
    <row r="48" spans="2:6">
      <c r="B48" s="120" t="s">
        <v>6</v>
      </c>
      <c r="C48" s="22" t="s">
        <v>41</v>
      </c>
      <c r="D48" s="299">
        <v>270095.59739299997</v>
      </c>
      <c r="E48" s="300">
        <v>244169.00390099999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10.56686</v>
      </c>
      <c r="E50" s="300">
        <v>10.881607000000001</v>
      </c>
    </row>
    <row r="51" spans="2:5">
      <c r="B51" s="99" t="s">
        <v>6</v>
      </c>
      <c r="C51" s="15" t="s">
        <v>114</v>
      </c>
      <c r="D51" s="299">
        <v>9.9116029999999995</v>
      </c>
      <c r="E51" s="72">
        <v>10.77862</v>
      </c>
    </row>
    <row r="52" spans="2:5" ht="12" customHeight="1">
      <c r="B52" s="99" t="s">
        <v>8</v>
      </c>
      <c r="C52" s="15" t="s">
        <v>115</v>
      </c>
      <c r="D52" s="299">
        <v>10.66953</v>
      </c>
      <c r="E52" s="72">
        <v>11.333679999999999</v>
      </c>
    </row>
    <row r="53" spans="2:5" ht="13.5" thickBot="1">
      <c r="B53" s="100" t="s">
        <v>9</v>
      </c>
      <c r="C53" s="17" t="s">
        <v>41</v>
      </c>
      <c r="D53" s="297">
        <v>10.16682</v>
      </c>
      <c r="E53" s="246">
        <v>10.846247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D64+D69</f>
        <v>2647246.31</v>
      </c>
      <c r="E58" s="31">
        <f>D58/E21</f>
        <v>0.99959557339457239</v>
      </c>
    </row>
    <row r="59" spans="2:5" ht="25.5">
      <c r="B59" s="180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178" t="s">
        <v>6</v>
      </c>
      <c r="C60" s="179" t="s">
        <v>45</v>
      </c>
      <c r="D60" s="75">
        <v>0</v>
      </c>
      <c r="E60" s="76">
        <v>0</v>
      </c>
    </row>
    <row r="61" spans="2:5">
      <c r="B61" s="178" t="s">
        <v>8</v>
      </c>
      <c r="C61" s="179" t="s">
        <v>46</v>
      </c>
      <c r="D61" s="75">
        <v>0</v>
      </c>
      <c r="E61" s="76">
        <v>0</v>
      </c>
    </row>
    <row r="62" spans="2:5">
      <c r="B62" s="178" t="s">
        <v>9</v>
      </c>
      <c r="C62" s="179" t="s">
        <v>47</v>
      </c>
      <c r="D62" s="75">
        <v>0</v>
      </c>
      <c r="E62" s="76">
        <v>0</v>
      </c>
    </row>
    <row r="63" spans="2:5">
      <c r="B63" s="178" t="s">
        <v>29</v>
      </c>
      <c r="C63" s="179" t="s">
        <v>48</v>
      </c>
      <c r="D63" s="75">
        <v>0</v>
      </c>
      <c r="E63" s="76">
        <v>0</v>
      </c>
    </row>
    <row r="64" spans="2:5">
      <c r="B64" s="180" t="s">
        <v>31</v>
      </c>
      <c r="C64" s="181" t="s">
        <v>49</v>
      </c>
      <c r="D64" s="77">
        <f>E12</f>
        <v>2647246.31</v>
      </c>
      <c r="E64" s="78">
        <f>D64/E21</f>
        <v>0.99959557339457239</v>
      </c>
    </row>
    <row r="65" spans="2:5">
      <c r="B65" s="180" t="s">
        <v>33</v>
      </c>
      <c r="C65" s="181" t="s">
        <v>118</v>
      </c>
      <c r="D65" s="77">
        <v>0</v>
      </c>
      <c r="E65" s="78">
        <v>0</v>
      </c>
    </row>
    <row r="66" spans="2:5">
      <c r="B66" s="180" t="s">
        <v>50</v>
      </c>
      <c r="C66" s="181" t="s">
        <v>51</v>
      </c>
      <c r="D66" s="77">
        <v>0</v>
      </c>
      <c r="E66" s="78">
        <v>0</v>
      </c>
    </row>
    <row r="67" spans="2:5">
      <c r="B67" s="178" t="s">
        <v>52</v>
      </c>
      <c r="C67" s="179" t="s">
        <v>53</v>
      </c>
      <c r="D67" s="75">
        <v>0</v>
      </c>
      <c r="E67" s="76">
        <v>0</v>
      </c>
    </row>
    <row r="68" spans="2:5">
      <c r="B68" s="178" t="s">
        <v>54</v>
      </c>
      <c r="C68" s="179" t="s">
        <v>55</v>
      </c>
      <c r="D68" s="75">
        <v>0</v>
      </c>
      <c r="E68" s="76">
        <v>0</v>
      </c>
    </row>
    <row r="69" spans="2:5" ht="15">
      <c r="B69" s="178" t="s">
        <v>56</v>
      </c>
      <c r="C69" s="179" t="s">
        <v>57</v>
      </c>
      <c r="D69" s="324">
        <v>0</v>
      </c>
      <c r="E69" s="76">
        <f>D69/E21</f>
        <v>0</v>
      </c>
    </row>
    <row r="70" spans="2:5">
      <c r="B70" s="208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5395.9</v>
      </c>
      <c r="E71" s="65">
        <f>D71/E21</f>
        <v>2.0374823959919968E-3</v>
      </c>
    </row>
    <row r="72" spans="2:5">
      <c r="B72" s="128" t="s">
        <v>60</v>
      </c>
      <c r="C72" s="114" t="s">
        <v>63</v>
      </c>
      <c r="D72" s="115">
        <f>E14</f>
        <v>5155.46</v>
      </c>
      <c r="E72" s="116">
        <f>D72/E21</f>
        <v>1.9466926728147114E-3</v>
      </c>
    </row>
    <row r="73" spans="2:5">
      <c r="B73" s="129" t="s">
        <v>62</v>
      </c>
      <c r="C73" s="24" t="s">
        <v>65</v>
      </c>
      <c r="D73" s="25">
        <f>E17</f>
        <v>9480.31</v>
      </c>
      <c r="E73" s="26">
        <f>D73/E21</f>
        <v>3.5797484633790263E-3</v>
      </c>
    </row>
    <row r="74" spans="2:5">
      <c r="B74" s="127" t="s">
        <v>64</v>
      </c>
      <c r="C74" s="118" t="s">
        <v>66</v>
      </c>
      <c r="D74" s="119">
        <f>D58+D72-D73+D71</f>
        <v>2648317.36</v>
      </c>
      <c r="E74" s="65">
        <f>E58+E72-E73+E71</f>
        <v>1.0000000000000002</v>
      </c>
    </row>
    <row r="75" spans="2:5">
      <c r="B75" s="178" t="s">
        <v>4</v>
      </c>
      <c r="C75" s="179" t="s">
        <v>67</v>
      </c>
      <c r="D75" s="75">
        <f>D74</f>
        <v>2648317.36</v>
      </c>
      <c r="E75" s="76">
        <f>E74</f>
        <v>1.0000000000000002</v>
      </c>
    </row>
    <row r="76" spans="2:5">
      <c r="B76" s="178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82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55118110236220474" header="0.51181102362204722" footer="0.51181102362204722"/>
  <pageSetup paperSize="9" scale="7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75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210"/>
      <c r="C10" s="198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3924708.78</v>
      </c>
      <c r="E11" s="211">
        <f>SUM(E12:E14)</f>
        <v>3798017.1999999997</v>
      </c>
    </row>
    <row r="12" spans="2:7">
      <c r="B12" s="167" t="s">
        <v>4</v>
      </c>
      <c r="C12" s="214" t="s">
        <v>5</v>
      </c>
      <c r="D12" s="271">
        <f>3918318.87+6389.9</f>
        <v>3924708.77</v>
      </c>
      <c r="E12" s="216">
        <v>3789001.35</v>
      </c>
    </row>
    <row r="13" spans="2:7">
      <c r="B13" s="167" t="s">
        <v>6</v>
      </c>
      <c r="C13" s="214" t="s">
        <v>7</v>
      </c>
      <c r="D13" s="272">
        <v>0.01</v>
      </c>
      <c r="E13" s="217">
        <v>6449.34</v>
      </c>
    </row>
    <row r="14" spans="2:7">
      <c r="B14" s="167" t="s">
        <v>8</v>
      </c>
      <c r="C14" s="214" t="s">
        <v>10</v>
      </c>
      <c r="D14" s="272"/>
      <c r="E14" s="217">
        <f>E15</f>
        <v>2566.5100000000002</v>
      </c>
    </row>
    <row r="15" spans="2:7">
      <c r="B15" s="167" t="s">
        <v>106</v>
      </c>
      <c r="C15" s="214" t="s">
        <v>11</v>
      </c>
      <c r="D15" s="272"/>
      <c r="E15" s="217">
        <v>2566.5100000000002</v>
      </c>
    </row>
    <row r="16" spans="2:7">
      <c r="B16" s="170" t="s">
        <v>107</v>
      </c>
      <c r="C16" s="215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6359.25</v>
      </c>
      <c r="E17" s="219">
        <f>E18</f>
        <v>8568.92</v>
      </c>
    </row>
    <row r="18" spans="2:6">
      <c r="B18" s="167" t="s">
        <v>4</v>
      </c>
      <c r="C18" s="214" t="s">
        <v>11</v>
      </c>
      <c r="D18" s="273">
        <v>6359.25</v>
      </c>
      <c r="E18" s="218">
        <v>8568.92</v>
      </c>
    </row>
    <row r="19" spans="2:6" ht="15" customHeight="1">
      <c r="B19" s="167" t="s">
        <v>6</v>
      </c>
      <c r="C19" s="214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3918349.53</v>
      </c>
      <c r="E21" s="145">
        <f>E11-E17</f>
        <v>3789448.28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210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4262810.3000000007</v>
      </c>
      <c r="E26" s="206">
        <f>D21</f>
        <v>3918349.53</v>
      </c>
    </row>
    <row r="27" spans="2:6">
      <c r="B27" s="9" t="s">
        <v>17</v>
      </c>
      <c r="C27" s="10" t="s">
        <v>111</v>
      </c>
      <c r="D27" s="285">
        <v>-162760.31999999998</v>
      </c>
      <c r="E27" s="240">
        <v>-159940.74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4.34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>
        <v>4.34</v>
      </c>
      <c r="F31" s="70"/>
    </row>
    <row r="32" spans="2:6">
      <c r="B32" s="89" t="s">
        <v>23</v>
      </c>
      <c r="C32" s="11" t="s">
        <v>24</v>
      </c>
      <c r="D32" s="285">
        <v>162760.31999999998</v>
      </c>
      <c r="E32" s="241">
        <v>159945.07999999999</v>
      </c>
      <c r="F32" s="70"/>
    </row>
    <row r="33" spans="2:6">
      <c r="B33" s="175" t="s">
        <v>4</v>
      </c>
      <c r="C33" s="168" t="s">
        <v>25</v>
      </c>
      <c r="D33" s="286">
        <v>138306.12</v>
      </c>
      <c r="E33" s="242">
        <v>139484.15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24316.43</v>
      </c>
      <c r="E35" s="242">
        <v>20460.93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137.77000000000001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-231381.31</v>
      </c>
      <c r="E40" s="245">
        <v>31039.49</v>
      </c>
    </row>
    <row r="41" spans="2:6" ht="13.5" thickBot="1">
      <c r="B41" s="96" t="s">
        <v>37</v>
      </c>
      <c r="C41" s="97" t="s">
        <v>38</v>
      </c>
      <c r="D41" s="289">
        <v>3868668.6700000009</v>
      </c>
      <c r="E41" s="145">
        <f>E26+E27+E40</f>
        <v>3789448.2800000003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210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434875.47665999999</v>
      </c>
      <c r="E47" s="300">
        <v>396772.43435400003</v>
      </c>
    </row>
    <row r="48" spans="2:6">
      <c r="B48" s="180" t="s">
        <v>6</v>
      </c>
      <c r="C48" s="181" t="s">
        <v>41</v>
      </c>
      <c r="D48" s="299">
        <v>417735.36892400001</v>
      </c>
      <c r="E48" s="300">
        <v>380731.23458799999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9.8023699999999998</v>
      </c>
      <c r="E50" s="300">
        <v>9.8755590000000009</v>
      </c>
    </row>
    <row r="51" spans="2:5">
      <c r="B51" s="178" t="s">
        <v>6</v>
      </c>
      <c r="C51" s="179" t="s">
        <v>114</v>
      </c>
      <c r="D51" s="299">
        <v>9.0750499999999992</v>
      </c>
      <c r="E51" s="300">
        <v>9.8740140000000007</v>
      </c>
    </row>
    <row r="52" spans="2:5" ht="12.75" customHeight="1">
      <c r="B52" s="178" t="s">
        <v>8</v>
      </c>
      <c r="C52" s="179" t="s">
        <v>115</v>
      </c>
      <c r="D52" s="299">
        <v>9.8724000000000007</v>
      </c>
      <c r="E52" s="72">
        <v>10.22129</v>
      </c>
    </row>
    <row r="53" spans="2:5" ht="13.5" thickBot="1">
      <c r="B53" s="182" t="s">
        <v>9</v>
      </c>
      <c r="C53" s="183" t="s">
        <v>41</v>
      </c>
      <c r="D53" s="297">
        <v>9.2610510000000001</v>
      </c>
      <c r="E53" s="246">
        <v>9.9530799999999999</v>
      </c>
    </row>
    <row r="54" spans="2:5">
      <c r="B54" s="184"/>
      <c r="C54" s="185"/>
      <c r="D54" s="108"/>
      <c r="E54" s="108"/>
    </row>
    <row r="55" spans="2:5" ht="13.5">
      <c r="B55" s="357" t="s">
        <v>62</v>
      </c>
      <c r="C55" s="366"/>
      <c r="D55" s="366"/>
      <c r="E55" s="366"/>
    </row>
    <row r="56" spans="2:5" ht="16.5" customHeight="1" thickBot="1">
      <c r="B56" s="355" t="s">
        <v>116</v>
      </c>
      <c r="C56" s="367"/>
      <c r="D56" s="367"/>
      <c r="E56" s="367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D64+D69</f>
        <v>3789001.35</v>
      </c>
      <c r="E58" s="31">
        <f>D58/E21</f>
        <v>0.99988205934822794</v>
      </c>
    </row>
    <row r="59" spans="2:5" ht="25.5">
      <c r="B59" s="180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178" t="s">
        <v>6</v>
      </c>
      <c r="C60" s="179" t="s">
        <v>45</v>
      </c>
      <c r="D60" s="75">
        <v>0</v>
      </c>
      <c r="E60" s="76">
        <v>0</v>
      </c>
    </row>
    <row r="61" spans="2:5">
      <c r="B61" s="178" t="s">
        <v>8</v>
      </c>
      <c r="C61" s="179" t="s">
        <v>46</v>
      </c>
      <c r="D61" s="75">
        <v>0</v>
      </c>
      <c r="E61" s="76">
        <v>0</v>
      </c>
    </row>
    <row r="62" spans="2:5">
      <c r="B62" s="178" t="s">
        <v>9</v>
      </c>
      <c r="C62" s="179" t="s">
        <v>47</v>
      </c>
      <c r="D62" s="75">
        <v>0</v>
      </c>
      <c r="E62" s="76">
        <v>0</v>
      </c>
    </row>
    <row r="63" spans="2:5">
      <c r="B63" s="178" t="s">
        <v>29</v>
      </c>
      <c r="C63" s="179" t="s">
        <v>48</v>
      </c>
      <c r="D63" s="75">
        <v>0</v>
      </c>
      <c r="E63" s="76">
        <v>0</v>
      </c>
    </row>
    <row r="64" spans="2:5">
      <c r="B64" s="180" t="s">
        <v>31</v>
      </c>
      <c r="C64" s="181" t="s">
        <v>49</v>
      </c>
      <c r="D64" s="77">
        <f>E12</f>
        <v>3789001.35</v>
      </c>
      <c r="E64" s="78">
        <f>D64/E21</f>
        <v>0.99988205934822794</v>
      </c>
    </row>
    <row r="65" spans="2:5">
      <c r="B65" s="180" t="s">
        <v>33</v>
      </c>
      <c r="C65" s="181" t="s">
        <v>118</v>
      </c>
      <c r="D65" s="77">
        <v>0</v>
      </c>
      <c r="E65" s="78">
        <v>0</v>
      </c>
    </row>
    <row r="66" spans="2:5">
      <c r="B66" s="180" t="s">
        <v>50</v>
      </c>
      <c r="C66" s="181" t="s">
        <v>51</v>
      </c>
      <c r="D66" s="77">
        <v>0</v>
      </c>
      <c r="E66" s="78">
        <v>0</v>
      </c>
    </row>
    <row r="67" spans="2:5">
      <c r="B67" s="178" t="s">
        <v>52</v>
      </c>
      <c r="C67" s="179" t="s">
        <v>53</v>
      </c>
      <c r="D67" s="75">
        <v>0</v>
      </c>
      <c r="E67" s="76">
        <v>0</v>
      </c>
    </row>
    <row r="68" spans="2:5">
      <c r="B68" s="178" t="s">
        <v>54</v>
      </c>
      <c r="C68" s="179" t="s">
        <v>55</v>
      </c>
      <c r="D68" s="75">
        <v>0</v>
      </c>
      <c r="E68" s="76">
        <v>0</v>
      </c>
    </row>
    <row r="69" spans="2:5" ht="15">
      <c r="B69" s="178" t="s">
        <v>56</v>
      </c>
      <c r="C69" s="179" t="s">
        <v>57</v>
      </c>
      <c r="D69" s="324">
        <v>0</v>
      </c>
      <c r="E69" s="76">
        <f>D69/E21</f>
        <v>0</v>
      </c>
    </row>
    <row r="70" spans="2:5">
      <c r="B70" s="208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6449.34</v>
      </c>
      <c r="E71" s="65">
        <f>D71/E21</f>
        <v>1.701920576153107E-3</v>
      </c>
    </row>
    <row r="72" spans="2:5">
      <c r="B72" s="128" t="s">
        <v>60</v>
      </c>
      <c r="C72" s="114" t="s">
        <v>63</v>
      </c>
      <c r="D72" s="115">
        <f>E14</f>
        <v>2566.5100000000002</v>
      </c>
      <c r="E72" s="116">
        <f>D72/E21</f>
        <v>6.7727801261876575E-4</v>
      </c>
    </row>
    <row r="73" spans="2:5">
      <c r="B73" s="129" t="s">
        <v>62</v>
      </c>
      <c r="C73" s="24" t="s">
        <v>65</v>
      </c>
      <c r="D73" s="25">
        <f>E17</f>
        <v>8568.92</v>
      </c>
      <c r="E73" s="26">
        <f>D73/E21</f>
        <v>2.2612579369997365E-3</v>
      </c>
    </row>
    <row r="74" spans="2:5">
      <c r="B74" s="127" t="s">
        <v>64</v>
      </c>
      <c r="C74" s="118" t="s">
        <v>66</v>
      </c>
      <c r="D74" s="119">
        <f>D58+D71+D72-D73</f>
        <v>3789448.28</v>
      </c>
      <c r="E74" s="65">
        <f>E58+E72-E73+E71</f>
        <v>1.0000000000000002</v>
      </c>
    </row>
    <row r="75" spans="2:5">
      <c r="B75" s="178" t="s">
        <v>4</v>
      </c>
      <c r="C75" s="179" t="s">
        <v>67</v>
      </c>
      <c r="D75" s="75">
        <f>D74</f>
        <v>3789448.28</v>
      </c>
      <c r="E75" s="76">
        <f>E74</f>
        <v>1.0000000000000002</v>
      </c>
    </row>
    <row r="76" spans="2:5">
      <c r="B76" s="178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82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4.57031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86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30" t="s">
        <v>255</v>
      </c>
      <c r="E10" s="229" t="s">
        <v>260</v>
      </c>
    </row>
    <row r="11" spans="2:7">
      <c r="B11" s="87" t="s">
        <v>3</v>
      </c>
      <c r="C11" s="187" t="s">
        <v>109</v>
      </c>
      <c r="D11" s="270">
        <v>254358483.99000001</v>
      </c>
      <c r="E11" s="211">
        <f>SUM(E12:E14)</f>
        <v>304137849.71000004</v>
      </c>
    </row>
    <row r="12" spans="2:7">
      <c r="B12" s="103" t="s">
        <v>4</v>
      </c>
      <c r="C12" s="67" t="s">
        <v>5</v>
      </c>
      <c r="D12" s="271">
        <v>254313744.51000002</v>
      </c>
      <c r="E12" s="216">
        <f>310738542+213190.86-6814000.03</f>
        <v>304137732.83000004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>
        <v>44739.48</v>
      </c>
      <c r="E14" s="217">
        <f>E15</f>
        <v>116.88</v>
      </c>
    </row>
    <row r="15" spans="2:7">
      <c r="B15" s="103" t="s">
        <v>106</v>
      </c>
      <c r="C15" s="67" t="s">
        <v>11</v>
      </c>
      <c r="D15" s="272">
        <v>44739.48</v>
      </c>
      <c r="E15" s="217">
        <v>116.88</v>
      </c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99" t="s">
        <v>65</v>
      </c>
      <c r="D17" s="274">
        <v>291039.71999999997</v>
      </c>
      <c r="E17" s="219">
        <f>E18</f>
        <v>510045.06</v>
      </c>
    </row>
    <row r="18" spans="2:6">
      <c r="B18" s="103" t="s">
        <v>4</v>
      </c>
      <c r="C18" s="67" t="s">
        <v>11</v>
      </c>
      <c r="D18" s="273">
        <v>291039.71999999997</v>
      </c>
      <c r="E18" s="218">
        <v>510045.06</v>
      </c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customHeight="1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254067444.27000001</v>
      </c>
      <c r="E21" s="145">
        <f>E11-E17</f>
        <v>303627804.65000004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6.5" customHeight="1" thickBot="1">
      <c r="B24" s="355" t="s">
        <v>105</v>
      </c>
      <c r="C24" s="369"/>
      <c r="D24" s="369"/>
      <c r="E24" s="369"/>
    </row>
    <row r="25" spans="2:6" ht="13.5" thickBot="1">
      <c r="B25" s="83"/>
      <c r="C25" s="5" t="s">
        <v>2</v>
      </c>
      <c r="D25" s="69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210774051.41</v>
      </c>
      <c r="E26" s="206">
        <f>D21</f>
        <v>254067444.27000001</v>
      </c>
    </row>
    <row r="27" spans="2:6">
      <c r="B27" s="9" t="s">
        <v>17</v>
      </c>
      <c r="C27" s="10" t="s">
        <v>111</v>
      </c>
      <c r="D27" s="285">
        <v>-2382446.4399999995</v>
      </c>
      <c r="E27" s="240">
        <v>-7399356.2599999961</v>
      </c>
      <c r="F27" s="70"/>
    </row>
    <row r="28" spans="2:6">
      <c r="B28" s="9" t="s">
        <v>18</v>
      </c>
      <c r="C28" s="10" t="s">
        <v>19</v>
      </c>
      <c r="D28" s="285">
        <v>13706568.85</v>
      </c>
      <c r="E28" s="241">
        <v>11798322.360000001</v>
      </c>
      <c r="F28" s="70"/>
    </row>
    <row r="29" spans="2:6">
      <c r="B29" s="101" t="s">
        <v>4</v>
      </c>
      <c r="C29" s="6" t="s">
        <v>20</v>
      </c>
      <c r="D29" s="286">
        <v>12441522.640000001</v>
      </c>
      <c r="E29" s="242">
        <v>11251248.24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1265046.2100000002</v>
      </c>
      <c r="E31" s="242">
        <v>547074.12</v>
      </c>
      <c r="F31" s="70"/>
    </row>
    <row r="32" spans="2:6">
      <c r="B32" s="89" t="s">
        <v>23</v>
      </c>
      <c r="C32" s="11" t="s">
        <v>24</v>
      </c>
      <c r="D32" s="285">
        <v>16089015.289999999</v>
      </c>
      <c r="E32" s="241">
        <v>19197678.619999997</v>
      </c>
      <c r="F32" s="70"/>
    </row>
    <row r="33" spans="2:6">
      <c r="B33" s="101" t="s">
        <v>4</v>
      </c>
      <c r="C33" s="6" t="s">
        <v>25</v>
      </c>
      <c r="D33" s="286">
        <v>8515923.9000000004</v>
      </c>
      <c r="E33" s="242">
        <v>14804534.109999999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2780726.26</v>
      </c>
      <c r="E35" s="242">
        <v>2712848.4499999997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4792365.13</v>
      </c>
      <c r="E39" s="243">
        <v>1680296.0599999998</v>
      </c>
      <c r="F39" s="70"/>
    </row>
    <row r="40" spans="2:6" ht="13.5" thickBot="1">
      <c r="B40" s="94" t="s">
        <v>35</v>
      </c>
      <c r="C40" s="95" t="s">
        <v>36</v>
      </c>
      <c r="D40" s="288">
        <v>-3086665.87</v>
      </c>
      <c r="E40" s="245">
        <v>56959716.640000001</v>
      </c>
    </row>
    <row r="41" spans="2:6" ht="13.5" thickBot="1">
      <c r="B41" s="96" t="s">
        <v>37</v>
      </c>
      <c r="C41" s="97" t="s">
        <v>38</v>
      </c>
      <c r="D41" s="289">
        <v>205304939.09999999</v>
      </c>
      <c r="E41" s="145">
        <f>E26+E27+E40</f>
        <v>303627804.65000004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5.7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11489564.341</v>
      </c>
      <c r="E47" s="300">
        <v>11153316.624499999</v>
      </c>
    </row>
    <row r="48" spans="2:6">
      <c r="B48" s="120" t="s">
        <v>6</v>
      </c>
      <c r="C48" s="22" t="s">
        <v>41</v>
      </c>
      <c r="D48" s="299">
        <v>11355628.7377</v>
      </c>
      <c r="E48" s="301">
        <v>10910084.0616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18.344799999999999</v>
      </c>
      <c r="E50" s="303">
        <v>22.779500000000002</v>
      </c>
    </row>
    <row r="51" spans="2:5">
      <c r="B51" s="99" t="s">
        <v>6</v>
      </c>
      <c r="C51" s="15" t="s">
        <v>114</v>
      </c>
      <c r="D51" s="299">
        <v>12.6134</v>
      </c>
      <c r="E51" s="304">
        <v>22.779499999999999</v>
      </c>
    </row>
    <row r="52" spans="2:5">
      <c r="B52" s="99" t="s">
        <v>8</v>
      </c>
      <c r="C52" s="15" t="s">
        <v>115</v>
      </c>
      <c r="D52" s="299">
        <v>19.058800000000002</v>
      </c>
      <c r="E52" s="304">
        <v>28.140599999999999</v>
      </c>
    </row>
    <row r="53" spans="2:5" ht="12.75" customHeight="1" thickBot="1">
      <c r="B53" s="100" t="s">
        <v>9</v>
      </c>
      <c r="C53" s="17" t="s">
        <v>41</v>
      </c>
      <c r="D53" s="297">
        <v>18.079599999999999</v>
      </c>
      <c r="E53" s="246">
        <v>27.83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D64+D69</f>
        <v>304137732.83000004</v>
      </c>
      <c r="E58" s="31">
        <f>D58/E21</f>
        <v>1.001679451526476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5.5">
      <c r="B60" s="14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0</v>
      </c>
      <c r="E62" s="76">
        <v>0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77">
        <f>310738542-6814000.03</f>
        <v>303924541.97000003</v>
      </c>
      <c r="E64" s="78">
        <f>D64/E21</f>
        <v>1.0009773061473801</v>
      </c>
    </row>
    <row r="65" spans="2:5">
      <c r="B65" s="21" t="s">
        <v>33</v>
      </c>
      <c r="C65" s="22" t="s">
        <v>118</v>
      </c>
      <c r="D65" s="77">
        <v>0</v>
      </c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298">
        <v>213190.86</v>
      </c>
      <c r="E69" s="76">
        <f>D69/E21</f>
        <v>7.021453790958007E-4</v>
      </c>
    </row>
    <row r="70" spans="2:5">
      <c r="B70" s="109" t="s">
        <v>58</v>
      </c>
      <c r="C70" s="110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116.88</v>
      </c>
      <c r="E72" s="116">
        <f>D72/E21</f>
        <v>3.8494498267288374E-7</v>
      </c>
    </row>
    <row r="73" spans="2:5">
      <c r="B73" s="23" t="s">
        <v>62</v>
      </c>
      <c r="C73" s="24" t="s">
        <v>65</v>
      </c>
      <c r="D73" s="25">
        <f>E17</f>
        <v>510045.06</v>
      </c>
      <c r="E73" s="26">
        <f>D73/E21</f>
        <v>1.6798364714586751E-3</v>
      </c>
    </row>
    <row r="74" spans="2:5">
      <c r="B74" s="117" t="s">
        <v>64</v>
      </c>
      <c r="C74" s="118" t="s">
        <v>66</v>
      </c>
      <c r="D74" s="119">
        <f>D58+D71+D72-D73</f>
        <v>303627804.65000004</v>
      </c>
      <c r="E74" s="65">
        <f>E58+E72-E73</f>
        <v>1</v>
      </c>
    </row>
    <row r="75" spans="2:5">
      <c r="B75" s="14" t="s">
        <v>4</v>
      </c>
      <c r="C75" s="15" t="s">
        <v>67</v>
      </c>
      <c r="D75" s="75">
        <f>D74</f>
        <v>303627804.65000004</v>
      </c>
      <c r="E75" s="76">
        <f>E74</f>
        <v>1</v>
      </c>
    </row>
    <row r="76" spans="2:5">
      <c r="B76" s="14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999999999999995" bottom="0.51" header="0.5" footer="0.5"/>
  <pageSetup paperSize="9" scale="7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100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210"/>
      <c r="C10" s="198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7215001.2200000007</v>
      </c>
      <c r="E11" s="211">
        <f>SUM(E12:E14)</f>
        <v>6960194.54</v>
      </c>
    </row>
    <row r="12" spans="2:7">
      <c r="B12" s="167" t="s">
        <v>4</v>
      </c>
      <c r="C12" s="214" t="s">
        <v>5</v>
      </c>
      <c r="D12" s="271">
        <f>7198106.24+16894.98</f>
        <v>7215001.2200000007</v>
      </c>
      <c r="E12" s="216">
        <v>6943987.2999999998</v>
      </c>
    </row>
    <row r="13" spans="2:7">
      <c r="B13" s="167" t="s">
        <v>6</v>
      </c>
      <c r="C13" s="214" t="s">
        <v>7</v>
      </c>
      <c r="D13" s="272"/>
      <c r="E13" s="217">
        <v>16207.24</v>
      </c>
    </row>
    <row r="14" spans="2:7">
      <c r="B14" s="167" t="s">
        <v>8</v>
      </c>
      <c r="C14" s="214" t="s">
        <v>10</v>
      </c>
      <c r="D14" s="272"/>
      <c r="E14" s="217"/>
    </row>
    <row r="15" spans="2:7">
      <c r="B15" s="167" t="s">
        <v>106</v>
      </c>
      <c r="C15" s="214" t="s">
        <v>11</v>
      </c>
      <c r="D15" s="272"/>
      <c r="E15" s="217"/>
    </row>
    <row r="16" spans="2:7">
      <c r="B16" s="170" t="s">
        <v>107</v>
      </c>
      <c r="C16" s="215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11698.87</v>
      </c>
      <c r="E17" s="219">
        <f>E18</f>
        <v>11008.36</v>
      </c>
    </row>
    <row r="18" spans="2:6">
      <c r="B18" s="167" t="s">
        <v>4</v>
      </c>
      <c r="C18" s="214" t="s">
        <v>11</v>
      </c>
      <c r="D18" s="273">
        <v>11698.87</v>
      </c>
      <c r="E18" s="218">
        <v>11008.36</v>
      </c>
    </row>
    <row r="19" spans="2:6" ht="15" customHeight="1">
      <c r="B19" s="167" t="s">
        <v>6</v>
      </c>
      <c r="C19" s="214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7203302.3500000006</v>
      </c>
      <c r="E21" s="145">
        <f>E11-E17</f>
        <v>6949186.1799999997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210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8020621.7300000004</v>
      </c>
      <c r="E26" s="206">
        <f>D21</f>
        <v>7203302.3500000006</v>
      </c>
    </row>
    <row r="27" spans="2:6">
      <c r="B27" s="9" t="s">
        <v>17</v>
      </c>
      <c r="C27" s="10" t="s">
        <v>111</v>
      </c>
      <c r="D27" s="285">
        <v>-298493.84999999998</v>
      </c>
      <c r="E27" s="240">
        <v>-147230.61000000002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8.99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>
        <v>8.99</v>
      </c>
      <c r="F31" s="70"/>
    </row>
    <row r="32" spans="2:6">
      <c r="B32" s="89" t="s">
        <v>23</v>
      </c>
      <c r="C32" s="11" t="s">
        <v>24</v>
      </c>
      <c r="D32" s="285">
        <v>298493.84999999998</v>
      </c>
      <c r="E32" s="241">
        <v>147239.6</v>
      </c>
      <c r="F32" s="70"/>
    </row>
    <row r="33" spans="2:6">
      <c r="B33" s="175" t="s">
        <v>4</v>
      </c>
      <c r="C33" s="168" t="s">
        <v>25</v>
      </c>
      <c r="D33" s="286">
        <v>290245.25</v>
      </c>
      <c r="E33" s="242">
        <v>139791.93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8162.12</v>
      </c>
      <c r="E35" s="242">
        <v>7447.67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86.48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53451.29</v>
      </c>
      <c r="E40" s="245">
        <v>-106885.56</v>
      </c>
    </row>
    <row r="41" spans="2:6" ht="13.5" thickBot="1">
      <c r="B41" s="96" t="s">
        <v>37</v>
      </c>
      <c r="C41" s="97" t="s">
        <v>38</v>
      </c>
      <c r="D41" s="289">
        <v>7775579.1700000009</v>
      </c>
      <c r="E41" s="145">
        <f>E26+E27+E40</f>
        <v>6949186.1800000006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740979.36313800002</v>
      </c>
      <c r="E47" s="300">
        <v>649980.76820399996</v>
      </c>
    </row>
    <row r="48" spans="2:6">
      <c r="B48" s="120" t="s">
        <v>6</v>
      </c>
      <c r="C48" s="22" t="s">
        <v>41</v>
      </c>
      <c r="D48" s="299">
        <v>713348.91977599997</v>
      </c>
      <c r="E48" s="300">
        <v>636605.13475900004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10.8243519999999</v>
      </c>
      <c r="E50" s="300">
        <v>11.0823319999999</v>
      </c>
    </row>
    <row r="51" spans="2:5">
      <c r="B51" s="99" t="s">
        <v>6</v>
      </c>
      <c r="C51" s="15" t="s">
        <v>114</v>
      </c>
      <c r="D51" s="299">
        <v>10.429176</v>
      </c>
      <c r="E51" s="72">
        <v>10.855700000000001</v>
      </c>
    </row>
    <row r="52" spans="2:5" ht="12.75" customHeight="1">
      <c r="B52" s="99" t="s">
        <v>8</v>
      </c>
      <c r="C52" s="15" t="s">
        <v>115</v>
      </c>
      <c r="D52" s="299">
        <v>10.916639999999999</v>
      </c>
      <c r="E52" s="72">
        <v>11.0962</v>
      </c>
    </row>
    <row r="53" spans="2:5" ht="13.5" thickBot="1">
      <c r="B53" s="100" t="s">
        <v>9</v>
      </c>
      <c r="C53" s="17" t="s">
        <v>41</v>
      </c>
      <c r="D53" s="297">
        <v>10.900105999999999</v>
      </c>
      <c r="E53" s="323">
        <v>10.916007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D64+D69</f>
        <v>6943987.2999999998</v>
      </c>
      <c r="E58" s="31">
        <f>D58/E21</f>
        <v>0.99925187210914534</v>
      </c>
    </row>
    <row r="59" spans="2:5" ht="25.5">
      <c r="B59" s="180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178" t="s">
        <v>6</v>
      </c>
      <c r="C60" s="179" t="s">
        <v>45</v>
      </c>
      <c r="D60" s="75">
        <v>0</v>
      </c>
      <c r="E60" s="76">
        <v>0</v>
      </c>
    </row>
    <row r="61" spans="2:5">
      <c r="B61" s="178" t="s">
        <v>8</v>
      </c>
      <c r="C61" s="179" t="s">
        <v>46</v>
      </c>
      <c r="D61" s="75">
        <v>0</v>
      </c>
      <c r="E61" s="76">
        <v>0</v>
      </c>
    </row>
    <row r="62" spans="2:5">
      <c r="B62" s="178" t="s">
        <v>9</v>
      </c>
      <c r="C62" s="179" t="s">
        <v>47</v>
      </c>
      <c r="D62" s="75">
        <v>0</v>
      </c>
      <c r="E62" s="76">
        <v>0</v>
      </c>
    </row>
    <row r="63" spans="2:5">
      <c r="B63" s="178" t="s">
        <v>29</v>
      </c>
      <c r="C63" s="179" t="s">
        <v>48</v>
      </c>
      <c r="D63" s="75">
        <v>0</v>
      </c>
      <c r="E63" s="76">
        <v>0</v>
      </c>
    </row>
    <row r="64" spans="2:5">
      <c r="B64" s="180" t="s">
        <v>31</v>
      </c>
      <c r="C64" s="181" t="s">
        <v>49</v>
      </c>
      <c r="D64" s="271">
        <f>E12</f>
        <v>6943987.2999999998</v>
      </c>
      <c r="E64" s="325">
        <f>D64/E21</f>
        <v>0.99925187210914534</v>
      </c>
    </row>
    <row r="65" spans="2:5">
      <c r="B65" s="180" t="s">
        <v>33</v>
      </c>
      <c r="C65" s="181" t="s">
        <v>118</v>
      </c>
      <c r="D65" s="77">
        <v>0</v>
      </c>
      <c r="E65" s="78">
        <v>0</v>
      </c>
    </row>
    <row r="66" spans="2:5">
      <c r="B66" s="180" t="s">
        <v>50</v>
      </c>
      <c r="C66" s="181" t="s">
        <v>51</v>
      </c>
      <c r="D66" s="77">
        <v>0</v>
      </c>
      <c r="E66" s="78">
        <v>0</v>
      </c>
    </row>
    <row r="67" spans="2:5">
      <c r="B67" s="178" t="s">
        <v>52</v>
      </c>
      <c r="C67" s="179" t="s">
        <v>53</v>
      </c>
      <c r="D67" s="75">
        <v>0</v>
      </c>
      <c r="E67" s="76">
        <v>0</v>
      </c>
    </row>
    <row r="68" spans="2:5">
      <c r="B68" s="178" t="s">
        <v>54</v>
      </c>
      <c r="C68" s="179" t="s">
        <v>55</v>
      </c>
      <c r="D68" s="75">
        <v>0</v>
      </c>
      <c r="E68" s="76">
        <v>0</v>
      </c>
    </row>
    <row r="69" spans="2:5" ht="15">
      <c r="B69" s="178" t="s">
        <v>56</v>
      </c>
      <c r="C69" s="179" t="s">
        <v>57</v>
      </c>
      <c r="D69" s="324">
        <v>0</v>
      </c>
      <c r="E69" s="76">
        <f>D69/E21</f>
        <v>0</v>
      </c>
    </row>
    <row r="70" spans="2:5">
      <c r="B70" s="208" t="s">
        <v>58</v>
      </c>
      <c r="C70" s="207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16207.24</v>
      </c>
      <c r="E71" s="65">
        <f>D71/E21</f>
        <v>2.3322500765118369E-3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f>D72/E21</f>
        <v>0</v>
      </c>
    </row>
    <row r="73" spans="2:5">
      <c r="B73" s="129" t="s">
        <v>62</v>
      </c>
      <c r="C73" s="24" t="s">
        <v>65</v>
      </c>
      <c r="D73" s="25">
        <f>E17</f>
        <v>11008.36</v>
      </c>
      <c r="E73" s="26">
        <f>D73/E21</f>
        <v>1.5841221856571414E-3</v>
      </c>
    </row>
    <row r="74" spans="2:5">
      <c r="B74" s="127" t="s">
        <v>64</v>
      </c>
      <c r="C74" s="118" t="s">
        <v>66</v>
      </c>
      <c r="D74" s="119">
        <f>D58+D72-D73+D71</f>
        <v>6949186.1799999997</v>
      </c>
      <c r="E74" s="65">
        <f>E58+E72-E73+E71</f>
        <v>1</v>
      </c>
    </row>
    <row r="75" spans="2:5">
      <c r="B75" s="178" t="s">
        <v>4</v>
      </c>
      <c r="C75" s="179" t="s">
        <v>67</v>
      </c>
      <c r="D75" s="75">
        <f>D74</f>
        <v>6949186.1799999997</v>
      </c>
      <c r="E75" s="76">
        <f>E74</f>
        <v>1</v>
      </c>
    </row>
    <row r="76" spans="2:5">
      <c r="B76" s="178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82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62992125984251968" header="0.51181102362204722" footer="0.51181102362204722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74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7165250.3200000003</v>
      </c>
      <c r="E11" s="211">
        <f>SUM(E12:E14)</f>
        <v>7303168.2599999998</v>
      </c>
    </row>
    <row r="12" spans="2:7">
      <c r="B12" s="103" t="s">
        <v>4</v>
      </c>
      <c r="C12" s="188" t="s">
        <v>5</v>
      </c>
      <c r="D12" s="271">
        <f>7152715.62+12534.69</f>
        <v>7165250.3100000005</v>
      </c>
      <c r="E12" s="216">
        <v>7286776.3300000001</v>
      </c>
    </row>
    <row r="13" spans="2:7">
      <c r="B13" s="103" t="s">
        <v>6</v>
      </c>
      <c r="C13" s="188" t="s">
        <v>7</v>
      </c>
      <c r="D13" s="272">
        <v>0.01</v>
      </c>
      <c r="E13" s="217">
        <v>13562.04</v>
      </c>
    </row>
    <row r="14" spans="2:7">
      <c r="B14" s="103" t="s">
        <v>8</v>
      </c>
      <c r="C14" s="188" t="s">
        <v>10</v>
      </c>
      <c r="D14" s="272"/>
      <c r="E14" s="217">
        <f>E15</f>
        <v>2829.89</v>
      </c>
    </row>
    <row r="15" spans="2:7">
      <c r="B15" s="103" t="s">
        <v>106</v>
      </c>
      <c r="C15" s="188" t="s">
        <v>11</v>
      </c>
      <c r="D15" s="272"/>
      <c r="E15" s="217">
        <v>2829.89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12017.96</v>
      </c>
      <c r="E17" s="219">
        <f>E18</f>
        <v>14761.23</v>
      </c>
    </row>
    <row r="18" spans="2:6">
      <c r="B18" s="103" t="s">
        <v>4</v>
      </c>
      <c r="C18" s="188" t="s">
        <v>11</v>
      </c>
      <c r="D18" s="273">
        <v>12017.96</v>
      </c>
      <c r="E18" s="218">
        <v>14761.23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7153232.3600000003</v>
      </c>
      <c r="E21" s="145">
        <f>E11-E17</f>
        <v>7288407.0299999993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8342606.7199999997</v>
      </c>
      <c r="E26" s="206">
        <f>D21</f>
        <v>7153232.3600000003</v>
      </c>
    </row>
    <row r="27" spans="2:6">
      <c r="B27" s="9" t="s">
        <v>17</v>
      </c>
      <c r="C27" s="10" t="s">
        <v>111</v>
      </c>
      <c r="D27" s="285">
        <v>-340047.42</v>
      </c>
      <c r="E27" s="240">
        <v>-180640.48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340047.42</v>
      </c>
      <c r="E32" s="241">
        <v>180640.48</v>
      </c>
      <c r="F32" s="70"/>
    </row>
    <row r="33" spans="2:6">
      <c r="B33" s="101" t="s">
        <v>4</v>
      </c>
      <c r="C33" s="6" t="s">
        <v>25</v>
      </c>
      <c r="D33" s="286">
        <v>286442.17</v>
      </c>
      <c r="E33" s="242">
        <v>131510.51999999999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53038.400000000001</v>
      </c>
      <c r="E35" s="242">
        <v>49055.32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566.85</v>
      </c>
      <c r="E39" s="243">
        <v>74.64</v>
      </c>
      <c r="F39" s="70"/>
    </row>
    <row r="40" spans="2:6" ht="13.5" thickBot="1">
      <c r="B40" s="94" t="s">
        <v>35</v>
      </c>
      <c r="C40" s="95" t="s">
        <v>36</v>
      </c>
      <c r="D40" s="288">
        <v>-577678.96</v>
      </c>
      <c r="E40" s="245">
        <v>315815.15000000002</v>
      </c>
    </row>
    <row r="41" spans="2:6" ht="13.5" thickBot="1">
      <c r="B41" s="96" t="s">
        <v>37</v>
      </c>
      <c r="C41" s="97" t="s">
        <v>38</v>
      </c>
      <c r="D41" s="289">
        <v>7424880.3399999999</v>
      </c>
      <c r="E41" s="145">
        <f>E26+E27+E40</f>
        <v>7288407.0300000003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906379.75520200003</v>
      </c>
      <c r="E47" s="300">
        <v>819700.54994599998</v>
      </c>
    </row>
    <row r="48" spans="2:6">
      <c r="B48" s="120" t="s">
        <v>6</v>
      </c>
      <c r="C48" s="22" t="s">
        <v>41</v>
      </c>
      <c r="D48" s="299">
        <v>867420.77544</v>
      </c>
      <c r="E48" s="300">
        <v>799500.80959099997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9.2043169999999996</v>
      </c>
      <c r="E50" s="294">
        <v>8.7266410000000008</v>
      </c>
    </row>
    <row r="51" spans="2:5">
      <c r="B51" s="99" t="s">
        <v>6</v>
      </c>
      <c r="C51" s="15" t="s">
        <v>114</v>
      </c>
      <c r="D51" s="299">
        <v>8.4641640000000002</v>
      </c>
      <c r="E51" s="316">
        <v>8.7180160000000004</v>
      </c>
    </row>
    <row r="52" spans="2:5" ht="12.75" customHeight="1">
      <c r="B52" s="99" t="s">
        <v>8</v>
      </c>
      <c r="C52" s="15" t="s">
        <v>115</v>
      </c>
      <c r="D52" s="299">
        <v>9.2568850000000005</v>
      </c>
      <c r="E52" s="72">
        <v>9.1842330000000008</v>
      </c>
    </row>
    <row r="53" spans="2:5" ht="13.5" thickBot="1">
      <c r="B53" s="100" t="s">
        <v>9</v>
      </c>
      <c r="C53" s="17" t="s">
        <v>41</v>
      </c>
      <c r="D53" s="297">
        <v>8.5597220000000007</v>
      </c>
      <c r="E53" s="246">
        <v>9.1161969999999997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D64+D69</f>
        <v>7286776.3300000001</v>
      </c>
      <c r="E58" s="31">
        <f>D58/E21</f>
        <v>0.99977626112355045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4" customHeight="1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271">
        <f>E12</f>
        <v>7286776.3300000001</v>
      </c>
      <c r="E64" s="325">
        <f>D64/E21</f>
        <v>0.99977626112355045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 ht="15">
      <c r="B69" s="99" t="s">
        <v>56</v>
      </c>
      <c r="C69" s="15" t="s">
        <v>57</v>
      </c>
      <c r="D69" s="324">
        <v>0</v>
      </c>
      <c r="E69" s="76">
        <f>D69/E21</f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f>E13</f>
        <v>13562.04</v>
      </c>
      <c r="E71" s="65">
        <f>D71/E21</f>
        <v>1.8607687446896063E-3</v>
      </c>
    </row>
    <row r="72" spans="2:5">
      <c r="B72" s="128" t="s">
        <v>60</v>
      </c>
      <c r="C72" s="114" t="s">
        <v>63</v>
      </c>
      <c r="D72" s="115">
        <f>E14</f>
        <v>2829.89</v>
      </c>
      <c r="E72" s="116">
        <f>D72/E21</f>
        <v>3.8827277186246831E-4</v>
      </c>
    </row>
    <row r="73" spans="2:5">
      <c r="B73" s="129" t="s">
        <v>62</v>
      </c>
      <c r="C73" s="24" t="s">
        <v>65</v>
      </c>
      <c r="D73" s="25">
        <f>E17</f>
        <v>14761.23</v>
      </c>
      <c r="E73" s="26">
        <f>D73/E21</f>
        <v>2.0253026401024147E-3</v>
      </c>
    </row>
    <row r="74" spans="2:5">
      <c r="B74" s="127" t="s">
        <v>64</v>
      </c>
      <c r="C74" s="118" t="s">
        <v>66</v>
      </c>
      <c r="D74" s="119">
        <f>D58+D72-D73+D71</f>
        <v>7288407.0299999993</v>
      </c>
      <c r="E74" s="65">
        <f>E58+E71+E72-E73</f>
        <v>1</v>
      </c>
    </row>
    <row r="75" spans="2:5">
      <c r="B75" s="99" t="s">
        <v>4</v>
      </c>
      <c r="C75" s="15" t="s">
        <v>67</v>
      </c>
      <c r="D75" s="75">
        <f>D74</f>
        <v>7288407.0299999993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1" manualBreakCount="1">
    <brk id="7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148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141810.57999999999</v>
      </c>
      <c r="E11" s="211">
        <f>SUM(E12:E14)</f>
        <v>98316.97</v>
      </c>
    </row>
    <row r="12" spans="2:7">
      <c r="B12" s="167" t="s">
        <v>4</v>
      </c>
      <c r="C12" s="168" t="s">
        <v>5</v>
      </c>
      <c r="D12" s="271">
        <v>141810.57999999999</v>
      </c>
      <c r="E12" s="216">
        <v>98316.97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141810.57999999999</v>
      </c>
      <c r="E21" s="145">
        <f>E11-E17</f>
        <v>98316.97</v>
      </c>
      <c r="F21" s="74"/>
    </row>
    <row r="22" spans="2:6" ht="12" customHeight="1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4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199542.12</v>
      </c>
      <c r="E26" s="206">
        <f>D21</f>
        <v>141810.57999999999</v>
      </c>
    </row>
    <row r="27" spans="2:6">
      <c r="B27" s="9" t="s">
        <v>17</v>
      </c>
      <c r="C27" s="10" t="s">
        <v>111</v>
      </c>
      <c r="D27" s="285">
        <v>-81384.12</v>
      </c>
      <c r="E27" s="240">
        <v>-51495.53</v>
      </c>
      <c r="F27" s="70"/>
    </row>
    <row r="28" spans="2:6">
      <c r="B28" s="9" t="s">
        <v>18</v>
      </c>
      <c r="C28" s="10" t="s">
        <v>19</v>
      </c>
      <c r="D28" s="285">
        <v>4133.3</v>
      </c>
      <c r="E28" s="241">
        <v>4240.38</v>
      </c>
      <c r="F28" s="70"/>
    </row>
    <row r="29" spans="2:6">
      <c r="B29" s="175" t="s">
        <v>4</v>
      </c>
      <c r="C29" s="168" t="s">
        <v>20</v>
      </c>
      <c r="D29" s="286">
        <v>4133.3</v>
      </c>
      <c r="E29" s="242">
        <v>4240.38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85517.42</v>
      </c>
      <c r="E32" s="241">
        <v>55735.91</v>
      </c>
      <c r="F32" s="70"/>
    </row>
    <row r="33" spans="2:6">
      <c r="B33" s="175" t="s">
        <v>4</v>
      </c>
      <c r="C33" s="168" t="s">
        <v>25</v>
      </c>
      <c r="D33" s="286">
        <v>84112.91</v>
      </c>
      <c r="E33" s="242">
        <v>54278.63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136.53</v>
      </c>
      <c r="E35" s="242">
        <v>111.56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1267.98</v>
      </c>
      <c r="E37" s="242">
        <v>1283.4100000000001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62.31</v>
      </c>
      <c r="F39" s="70"/>
    </row>
    <row r="40" spans="2:6" ht="13.5" thickBot="1">
      <c r="B40" s="94" t="s">
        <v>35</v>
      </c>
      <c r="C40" s="95" t="s">
        <v>36</v>
      </c>
      <c r="D40" s="288">
        <v>7066.09</v>
      </c>
      <c r="E40" s="245">
        <v>8001.92</v>
      </c>
    </row>
    <row r="41" spans="2:6" ht="13.5" thickBot="1">
      <c r="B41" s="96" t="s">
        <v>37</v>
      </c>
      <c r="C41" s="97" t="s">
        <v>38</v>
      </c>
      <c r="D41" s="289">
        <v>125224.09</v>
      </c>
      <c r="E41" s="145">
        <f>E26+E27+E40</f>
        <v>98316.969999999987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1616.3801000000001</v>
      </c>
      <c r="E47" s="300">
        <v>984.24890000000005</v>
      </c>
    </row>
    <row r="48" spans="2:6">
      <c r="B48" s="120" t="s">
        <v>6</v>
      </c>
      <c r="C48" s="22" t="s">
        <v>41</v>
      </c>
      <c r="D48" s="299">
        <v>962.66980000000001</v>
      </c>
      <c r="E48" s="326">
        <v>637.75930000000005</v>
      </c>
    </row>
    <row r="49" spans="2:5">
      <c r="B49" s="117" t="s">
        <v>23</v>
      </c>
      <c r="C49" s="121" t="s">
        <v>113</v>
      </c>
      <c r="D49" s="302"/>
      <c r="E49" s="72"/>
    </row>
    <row r="50" spans="2:5">
      <c r="B50" s="99" t="s">
        <v>4</v>
      </c>
      <c r="C50" s="15" t="s">
        <v>40</v>
      </c>
      <c r="D50" s="299">
        <v>123.45</v>
      </c>
      <c r="E50" s="72">
        <v>144.08000000000001</v>
      </c>
    </row>
    <row r="51" spans="2:5">
      <c r="B51" s="99" t="s">
        <v>6</v>
      </c>
      <c r="C51" s="15" t="s">
        <v>114</v>
      </c>
      <c r="D51" s="299">
        <v>109.87</v>
      </c>
      <c r="E51" s="72">
        <v>144.08000000000001</v>
      </c>
    </row>
    <row r="52" spans="2:5">
      <c r="B52" s="99" t="s">
        <v>8</v>
      </c>
      <c r="C52" s="15" t="s">
        <v>115</v>
      </c>
      <c r="D52" s="299">
        <v>131.85</v>
      </c>
      <c r="E52" s="72">
        <v>154.29</v>
      </c>
    </row>
    <row r="53" spans="2:5" ht="13.5" customHeight="1" thickBot="1">
      <c r="B53" s="100" t="s">
        <v>9</v>
      </c>
      <c r="C53" s="17" t="s">
        <v>41</v>
      </c>
      <c r="D53" s="297">
        <v>130.08000000000001</v>
      </c>
      <c r="E53" s="327">
        <v>154.16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98316.97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98316.97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98316.97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98316.97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692913385826772" right="0.74803149606299213" top="0.55118110236220474" bottom="0.39370078740157483" header="0.51181102362204722" footer="0.51181102362204722"/>
  <pageSetup paperSize="9" scale="7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/>
  <dimension ref="A1:G81"/>
  <sheetViews>
    <sheetView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149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1562781.86</v>
      </c>
      <c r="E11" s="211">
        <f>SUM(E12:E14)</f>
        <v>1437473.74</v>
      </c>
    </row>
    <row r="12" spans="2:7">
      <c r="B12" s="103" t="s">
        <v>4</v>
      </c>
      <c r="C12" s="6" t="s">
        <v>5</v>
      </c>
      <c r="D12" s="271">
        <v>1562781.86</v>
      </c>
      <c r="E12" s="216">
        <v>1437473.74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1562781.86</v>
      </c>
      <c r="E21" s="145">
        <f>E11-E17</f>
        <v>1437473.74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1613814.13</v>
      </c>
      <c r="E26" s="206">
        <f>D21</f>
        <v>1562781.86</v>
      </c>
    </row>
    <row r="27" spans="2:6">
      <c r="B27" s="9" t="s">
        <v>17</v>
      </c>
      <c r="C27" s="10" t="s">
        <v>111</v>
      </c>
      <c r="D27" s="285">
        <v>-4502.7200000000012</v>
      </c>
      <c r="E27" s="240">
        <v>-146364.09</v>
      </c>
      <c r="F27" s="70"/>
    </row>
    <row r="28" spans="2:6">
      <c r="B28" s="9" t="s">
        <v>18</v>
      </c>
      <c r="C28" s="10" t="s">
        <v>19</v>
      </c>
      <c r="D28" s="285">
        <v>66630.100000000006</v>
      </c>
      <c r="E28" s="241">
        <v>3505.97</v>
      </c>
      <c r="F28" s="70"/>
    </row>
    <row r="29" spans="2:6">
      <c r="B29" s="101" t="s">
        <v>4</v>
      </c>
      <c r="C29" s="6" t="s">
        <v>20</v>
      </c>
      <c r="D29" s="286">
        <v>3250.75</v>
      </c>
      <c r="E29" s="242">
        <v>3505.97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63379.35</v>
      </c>
      <c r="E31" s="242"/>
      <c r="F31" s="70"/>
    </row>
    <row r="32" spans="2:6">
      <c r="B32" s="89" t="s">
        <v>23</v>
      </c>
      <c r="C32" s="11" t="s">
        <v>24</v>
      </c>
      <c r="D32" s="285">
        <v>71132.820000000007</v>
      </c>
      <c r="E32" s="241">
        <v>149870.06</v>
      </c>
      <c r="F32" s="70"/>
    </row>
    <row r="33" spans="2:6">
      <c r="B33" s="101" t="s">
        <v>4</v>
      </c>
      <c r="C33" s="6" t="s">
        <v>25</v>
      </c>
      <c r="D33" s="286">
        <v>55544.33</v>
      </c>
      <c r="E33" s="242">
        <v>137247.46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2629.7</v>
      </c>
      <c r="E35" s="242">
        <v>-260.69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12958.79</v>
      </c>
      <c r="E37" s="242">
        <v>12050.28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>
        <v>833.01</v>
      </c>
      <c r="F39" s="70"/>
    </row>
    <row r="40" spans="2:6" ht="13.5" thickBot="1">
      <c r="B40" s="94" t="s">
        <v>35</v>
      </c>
      <c r="C40" s="95" t="s">
        <v>36</v>
      </c>
      <c r="D40" s="288">
        <v>-24431.19</v>
      </c>
      <c r="E40" s="245">
        <v>21055.97</v>
      </c>
    </row>
    <row r="41" spans="2:6" ht="13.5" thickBot="1">
      <c r="B41" s="96" t="s">
        <v>37</v>
      </c>
      <c r="C41" s="97" t="s">
        <v>38</v>
      </c>
      <c r="D41" s="289">
        <v>1584880.22</v>
      </c>
      <c r="E41" s="145">
        <f>E26+E27+E40</f>
        <v>1437473.74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9303.1309999999994</v>
      </c>
      <c r="E47" s="146">
        <v>8963.9891000000007</v>
      </c>
    </row>
    <row r="48" spans="2:6">
      <c r="B48" s="120" t="s">
        <v>6</v>
      </c>
      <c r="C48" s="22" t="s">
        <v>41</v>
      </c>
      <c r="D48" s="299">
        <v>9276.4426000000003</v>
      </c>
      <c r="E48" s="328">
        <v>8130.9674999999997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173.47</v>
      </c>
      <c r="E50" s="146">
        <v>174.34</v>
      </c>
    </row>
    <row r="51" spans="2:5">
      <c r="B51" s="99" t="s">
        <v>6</v>
      </c>
      <c r="C51" s="15" t="s">
        <v>114</v>
      </c>
      <c r="D51" s="299">
        <v>168.08</v>
      </c>
      <c r="E51" s="72">
        <v>174.34</v>
      </c>
    </row>
    <row r="52" spans="2:5">
      <c r="B52" s="99" t="s">
        <v>8</v>
      </c>
      <c r="C52" s="15" t="s">
        <v>115</v>
      </c>
      <c r="D52" s="299">
        <v>174.36</v>
      </c>
      <c r="E52" s="72">
        <v>176.79</v>
      </c>
    </row>
    <row r="53" spans="2:5" ht="13.5" customHeight="1" thickBot="1">
      <c r="B53" s="100" t="s">
        <v>9</v>
      </c>
      <c r="C53" s="17" t="s">
        <v>41</v>
      </c>
      <c r="D53" s="297">
        <v>170.85</v>
      </c>
      <c r="E53" s="329">
        <v>176.79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1437473.74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1437473.74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1437473.74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1437473.74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6" bottom="0.56000000000000005" header="0.5" footer="0.5"/>
  <pageSetup paperSize="9" scale="7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 customHeight="1">
      <c r="B6" s="354" t="s">
        <v>150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 customHeight="1">
      <c r="B8" s="356" t="s">
        <v>18</v>
      </c>
      <c r="C8" s="356"/>
      <c r="D8" s="356"/>
      <c r="E8" s="356"/>
    </row>
    <row r="9" spans="2:7" ht="16.5" customHeight="1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213098.23</v>
      </c>
      <c r="E11" s="211">
        <f>SUM(E12:E14)</f>
        <v>246745.26</v>
      </c>
    </row>
    <row r="12" spans="2:7">
      <c r="B12" s="167" t="s">
        <v>4</v>
      </c>
      <c r="C12" s="168" t="s">
        <v>5</v>
      </c>
      <c r="D12" s="271">
        <v>213098.23</v>
      </c>
      <c r="E12" s="216">
        <v>246745.26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customHeight="1" thickBot="1">
      <c r="B21" s="360" t="s">
        <v>110</v>
      </c>
      <c r="C21" s="372"/>
      <c r="D21" s="276">
        <v>213098.23</v>
      </c>
      <c r="E21" s="145">
        <f>E11-E17</f>
        <v>246745.26</v>
      </c>
      <c r="F21" s="74"/>
    </row>
    <row r="22" spans="2:6">
      <c r="B22" s="3"/>
      <c r="C22" s="7"/>
      <c r="D22" s="8"/>
      <c r="E22" s="8"/>
    </row>
    <row r="23" spans="2:6" ht="13.5" customHeight="1">
      <c r="B23" s="356" t="s">
        <v>104</v>
      </c>
      <c r="C23" s="356"/>
      <c r="D23" s="356"/>
      <c r="E23" s="356"/>
    </row>
    <row r="24" spans="2:6" ht="15.75" customHeight="1" thickBot="1">
      <c r="B24" s="355" t="s">
        <v>105</v>
      </c>
      <c r="C24" s="355"/>
      <c r="D24" s="355"/>
      <c r="E24" s="355"/>
    </row>
    <row r="25" spans="2:6" ht="13.5" thickBot="1">
      <c r="B25" s="194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229819.14</v>
      </c>
      <c r="E26" s="206">
        <f>D21</f>
        <v>213098.23</v>
      </c>
    </row>
    <row r="27" spans="2:6">
      <c r="B27" s="9" t="s">
        <v>17</v>
      </c>
      <c r="C27" s="10" t="s">
        <v>111</v>
      </c>
      <c r="D27" s="285">
        <v>-20007.260000000002</v>
      </c>
      <c r="E27" s="240">
        <v>-3120.21</v>
      </c>
      <c r="F27" s="70"/>
    </row>
    <row r="28" spans="2:6">
      <c r="B28" s="9" t="s">
        <v>18</v>
      </c>
      <c r="C28" s="10" t="s">
        <v>19</v>
      </c>
      <c r="D28" s="285">
        <v>431.78</v>
      </c>
      <c r="E28" s="241">
        <v>1161.1600000000001</v>
      </c>
      <c r="F28" s="70"/>
    </row>
    <row r="29" spans="2:6">
      <c r="B29" s="175" t="s">
        <v>4</v>
      </c>
      <c r="C29" s="168" t="s">
        <v>20</v>
      </c>
      <c r="D29" s="286">
        <v>431.78</v>
      </c>
      <c r="E29" s="242">
        <v>1161.1600000000001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20439.04</v>
      </c>
      <c r="E32" s="241">
        <v>4281.37</v>
      </c>
      <c r="F32" s="70"/>
    </row>
    <row r="33" spans="2:6">
      <c r="B33" s="175" t="s">
        <v>4</v>
      </c>
      <c r="C33" s="168" t="s">
        <v>25</v>
      </c>
      <c r="D33" s="286">
        <v>18152.14</v>
      </c>
      <c r="E33" s="242">
        <v>2034.03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311.58999999999997</v>
      </c>
      <c r="E35" s="242">
        <v>152.96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1975.31</v>
      </c>
      <c r="E37" s="242">
        <v>2094.38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9831.0400000000009</v>
      </c>
      <c r="E40" s="245">
        <v>36767.24</v>
      </c>
    </row>
    <row r="41" spans="2:6" ht="13.5" thickBot="1">
      <c r="B41" s="96" t="s">
        <v>37</v>
      </c>
      <c r="C41" s="97" t="s">
        <v>38</v>
      </c>
      <c r="D41" s="289">
        <v>219642.92</v>
      </c>
      <c r="E41" s="145">
        <f>E26+E27+E40</f>
        <v>246745.26</v>
      </c>
      <c r="F41" s="74"/>
    </row>
    <row r="42" spans="2:6">
      <c r="B42" s="90"/>
      <c r="C42" s="90"/>
      <c r="D42" s="91"/>
      <c r="E42" s="91"/>
      <c r="F42" s="74"/>
    </row>
    <row r="43" spans="2:6" ht="13.5" customHeight="1">
      <c r="B43" s="357" t="s">
        <v>60</v>
      </c>
      <c r="C43" s="357"/>
      <c r="D43" s="357"/>
      <c r="E43" s="357"/>
    </row>
    <row r="44" spans="2:6" ht="18" customHeight="1" thickBot="1">
      <c r="B44" s="355" t="s">
        <v>121</v>
      </c>
      <c r="C44" s="355"/>
      <c r="D44" s="355"/>
      <c r="E44" s="355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200"/>
      <c r="E46" s="28"/>
    </row>
    <row r="47" spans="2:6">
      <c r="B47" s="99" t="s">
        <v>4</v>
      </c>
      <c r="C47" s="15" t="s">
        <v>40</v>
      </c>
      <c r="D47" s="299">
        <v>2411.7865000000002</v>
      </c>
      <c r="E47" s="331">
        <v>1752.885</v>
      </c>
    </row>
    <row r="48" spans="2:6">
      <c r="B48" s="120" t="s">
        <v>6</v>
      </c>
      <c r="C48" s="22" t="s">
        <v>41</v>
      </c>
      <c r="D48" s="299">
        <v>2199.5084999999999</v>
      </c>
      <c r="E48" s="330">
        <v>1728.5132000000001</v>
      </c>
    </row>
    <row r="49" spans="2:5">
      <c r="B49" s="117" t="s">
        <v>23</v>
      </c>
      <c r="C49" s="121" t="s">
        <v>113</v>
      </c>
      <c r="D49" s="302"/>
      <c r="E49" s="332"/>
    </row>
    <row r="50" spans="2:5">
      <c r="B50" s="99" t="s">
        <v>4</v>
      </c>
      <c r="C50" s="15" t="s">
        <v>40</v>
      </c>
      <c r="D50" s="299">
        <v>95.29</v>
      </c>
      <c r="E50" s="335">
        <v>121.57</v>
      </c>
    </row>
    <row r="51" spans="2:5">
      <c r="B51" s="99" t="s">
        <v>6</v>
      </c>
      <c r="C51" s="15" t="s">
        <v>114</v>
      </c>
      <c r="D51" s="299">
        <v>77.44</v>
      </c>
      <c r="E51" s="316">
        <v>121.57</v>
      </c>
    </row>
    <row r="52" spans="2:5">
      <c r="B52" s="99" t="s">
        <v>8</v>
      </c>
      <c r="C52" s="15" t="s">
        <v>115</v>
      </c>
      <c r="D52" s="299">
        <v>102.48</v>
      </c>
      <c r="E52" s="332">
        <v>143.97999999999999</v>
      </c>
    </row>
    <row r="53" spans="2:5" ht="12.75" customHeight="1" thickBot="1">
      <c r="B53" s="100" t="s">
        <v>9</v>
      </c>
      <c r="C53" s="17" t="s">
        <v>41</v>
      </c>
      <c r="D53" s="297">
        <v>99.86</v>
      </c>
      <c r="E53" s="329">
        <v>142.75</v>
      </c>
    </row>
    <row r="54" spans="2:5">
      <c r="B54" s="106"/>
      <c r="C54" s="107"/>
      <c r="D54" s="108"/>
      <c r="E54" s="108"/>
    </row>
    <row r="55" spans="2:5" ht="13.5" customHeight="1">
      <c r="B55" s="357" t="s">
        <v>62</v>
      </c>
      <c r="C55" s="357"/>
      <c r="D55" s="357"/>
      <c r="E55" s="357"/>
    </row>
    <row r="56" spans="2:5" ht="14.25" customHeight="1" thickBot="1">
      <c r="B56" s="355" t="s">
        <v>116</v>
      </c>
      <c r="C56" s="355"/>
      <c r="D56" s="355"/>
      <c r="E56" s="355"/>
    </row>
    <row r="57" spans="2:5" ht="23.25" customHeight="1" thickBot="1">
      <c r="B57" s="370" t="s">
        <v>42</v>
      </c>
      <c r="C57" s="37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246745.26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246745.26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246745.26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246745.26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2" bottom="0.5" header="0.5" footer="0.5"/>
  <pageSetup paperSize="9" scale="7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151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296835.78000000003</v>
      </c>
      <c r="E11" s="211">
        <f>SUM(E12:E14)</f>
        <v>349741.07</v>
      </c>
    </row>
    <row r="12" spans="2:7">
      <c r="B12" s="103" t="s">
        <v>4</v>
      </c>
      <c r="C12" s="6" t="s">
        <v>5</v>
      </c>
      <c r="D12" s="271">
        <v>296835.78000000003</v>
      </c>
      <c r="E12" s="216">
        <v>349741.07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7">
      <c r="B17" s="9" t="s">
        <v>13</v>
      </c>
      <c r="C17" s="11" t="s">
        <v>65</v>
      </c>
      <c r="D17" s="274"/>
      <c r="E17" s="219"/>
    </row>
    <row r="18" spans="2:7">
      <c r="B18" s="103" t="s">
        <v>4</v>
      </c>
      <c r="C18" s="6" t="s">
        <v>11</v>
      </c>
      <c r="D18" s="273"/>
      <c r="E18" s="218"/>
    </row>
    <row r="19" spans="2:7" ht="15" customHeight="1">
      <c r="B19" s="103" t="s">
        <v>6</v>
      </c>
      <c r="C19" s="67" t="s">
        <v>108</v>
      </c>
      <c r="D19" s="272"/>
      <c r="E19" s="217"/>
    </row>
    <row r="20" spans="2:7" ht="13.5" thickBot="1">
      <c r="B20" s="105" t="s">
        <v>8</v>
      </c>
      <c r="C20" s="68" t="s">
        <v>14</v>
      </c>
      <c r="D20" s="275"/>
      <c r="E20" s="212"/>
    </row>
    <row r="21" spans="2:7" ht="13.5" thickBot="1">
      <c r="B21" s="362" t="s">
        <v>110</v>
      </c>
      <c r="C21" s="363"/>
      <c r="D21" s="276">
        <v>296835.78000000003</v>
      </c>
      <c r="E21" s="145">
        <f>E11-E17</f>
        <v>349741.07</v>
      </c>
      <c r="F21" s="74"/>
      <c r="G21" s="166"/>
    </row>
    <row r="22" spans="2:7">
      <c r="B22" s="3"/>
      <c r="C22" s="7"/>
      <c r="D22" s="8"/>
      <c r="E22" s="8"/>
    </row>
    <row r="23" spans="2:7" ht="13.5">
      <c r="B23" s="356" t="s">
        <v>104</v>
      </c>
      <c r="C23" s="368"/>
      <c r="D23" s="368"/>
      <c r="E23" s="368"/>
    </row>
    <row r="24" spans="2:7" ht="15.75" customHeight="1" thickBot="1">
      <c r="B24" s="355" t="s">
        <v>105</v>
      </c>
      <c r="C24" s="369"/>
      <c r="D24" s="369"/>
      <c r="E24" s="369"/>
    </row>
    <row r="25" spans="2:7" ht="13.5" thickBot="1">
      <c r="B25" s="85"/>
      <c r="C25" s="5" t="s">
        <v>2</v>
      </c>
      <c r="D25" s="256" t="s">
        <v>262</v>
      </c>
      <c r="E25" s="223" t="s">
        <v>260</v>
      </c>
    </row>
    <row r="26" spans="2:7">
      <c r="B26" s="92" t="s">
        <v>15</v>
      </c>
      <c r="C26" s="93" t="s">
        <v>16</v>
      </c>
      <c r="D26" s="284">
        <v>273163.09999999998</v>
      </c>
      <c r="E26" s="206">
        <f>D21</f>
        <v>296835.78000000003</v>
      </c>
    </row>
    <row r="27" spans="2:7">
      <c r="B27" s="9" t="s">
        <v>17</v>
      </c>
      <c r="C27" s="10" t="s">
        <v>111</v>
      </c>
      <c r="D27" s="285">
        <v>-55656.060000000005</v>
      </c>
      <c r="E27" s="240">
        <v>-21492.3</v>
      </c>
      <c r="F27" s="70"/>
    </row>
    <row r="28" spans="2:7">
      <c r="B28" s="9" t="s">
        <v>18</v>
      </c>
      <c r="C28" s="10" t="s">
        <v>19</v>
      </c>
      <c r="D28" s="285">
        <v>53289.74</v>
      </c>
      <c r="E28" s="241">
        <v>79826.19</v>
      </c>
      <c r="F28" s="70"/>
    </row>
    <row r="29" spans="2:7">
      <c r="B29" s="101" t="s">
        <v>4</v>
      </c>
      <c r="C29" s="6" t="s">
        <v>20</v>
      </c>
      <c r="D29" s="286">
        <v>3330.89</v>
      </c>
      <c r="E29" s="242">
        <v>3449.79</v>
      </c>
      <c r="F29" s="70"/>
    </row>
    <row r="30" spans="2:7">
      <c r="B30" s="101" t="s">
        <v>6</v>
      </c>
      <c r="C30" s="6" t="s">
        <v>21</v>
      </c>
      <c r="D30" s="286"/>
      <c r="E30" s="242"/>
      <c r="F30" s="70"/>
    </row>
    <row r="31" spans="2:7">
      <c r="B31" s="101" t="s">
        <v>8</v>
      </c>
      <c r="C31" s="6" t="s">
        <v>22</v>
      </c>
      <c r="D31" s="286">
        <v>49958.85</v>
      </c>
      <c r="E31" s="242">
        <v>76376.399999999994</v>
      </c>
      <c r="F31" s="70"/>
    </row>
    <row r="32" spans="2:7">
      <c r="B32" s="89" t="s">
        <v>23</v>
      </c>
      <c r="C32" s="11" t="s">
        <v>24</v>
      </c>
      <c r="D32" s="285">
        <v>108945.8</v>
      </c>
      <c r="E32" s="241">
        <v>101318.48999999999</v>
      </c>
      <c r="F32" s="70"/>
    </row>
    <row r="33" spans="2:6">
      <c r="B33" s="101" t="s">
        <v>4</v>
      </c>
      <c r="C33" s="6" t="s">
        <v>25</v>
      </c>
      <c r="D33" s="286"/>
      <c r="E33" s="242">
        <v>98627.79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183.71</v>
      </c>
      <c r="E35" s="242">
        <v>249.41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1749.71</v>
      </c>
      <c r="E37" s="242">
        <v>2441.29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107012.38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20636.68</v>
      </c>
      <c r="E40" s="245">
        <v>74397.59</v>
      </c>
    </row>
    <row r="41" spans="2:6" ht="13.5" thickBot="1">
      <c r="B41" s="96" t="s">
        <v>37</v>
      </c>
      <c r="C41" s="97" t="s">
        <v>38</v>
      </c>
      <c r="D41" s="289">
        <v>238143.71999999997</v>
      </c>
      <c r="E41" s="145">
        <f>E26+E27+E40</f>
        <v>349741.07000000007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2241.0623999999998</v>
      </c>
      <c r="E47" s="146">
        <v>1697.5625</v>
      </c>
    </row>
    <row r="48" spans="2:6">
      <c r="B48" s="120" t="s">
        <v>6</v>
      </c>
      <c r="C48" s="22" t="s">
        <v>41</v>
      </c>
      <c r="D48" s="299">
        <v>1784.7838999999999</v>
      </c>
      <c r="E48" s="328">
        <v>1624.9643000000001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121.89</v>
      </c>
      <c r="E50" s="146">
        <v>174.86</v>
      </c>
    </row>
    <row r="51" spans="2:5">
      <c r="B51" s="99" t="s">
        <v>6</v>
      </c>
      <c r="C51" s="15" t="s">
        <v>114</v>
      </c>
      <c r="D51" s="299">
        <v>88.48</v>
      </c>
      <c r="E51" s="72">
        <v>174.86</v>
      </c>
    </row>
    <row r="52" spans="2:5">
      <c r="B52" s="99" t="s">
        <v>8</v>
      </c>
      <c r="C52" s="15" t="s">
        <v>115</v>
      </c>
      <c r="D52" s="299">
        <v>137.59</v>
      </c>
      <c r="E52" s="72">
        <v>217.17</v>
      </c>
    </row>
    <row r="53" spans="2:5" ht="13.5" customHeight="1" thickBot="1">
      <c r="B53" s="100" t="s">
        <v>9</v>
      </c>
      <c r="C53" s="17" t="s">
        <v>41</v>
      </c>
      <c r="D53" s="297">
        <v>133.43</v>
      </c>
      <c r="E53" s="329">
        <v>215.23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349741.07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349741.07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349741.07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349741.07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9" bottom="0.4" header="0.5" footer="0.5"/>
  <pageSetup paperSize="9" scale="7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8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152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6303578.8099999996</v>
      </c>
      <c r="E11" s="211">
        <f>SUM(E12:E14)</f>
        <v>4148954.03</v>
      </c>
    </row>
    <row r="12" spans="2:7">
      <c r="B12" s="167" t="s">
        <v>4</v>
      </c>
      <c r="C12" s="168" t="s">
        <v>5</v>
      </c>
      <c r="D12" s="271">
        <v>6303578.8099999996</v>
      </c>
      <c r="E12" s="216">
        <v>4148954.03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6303578.8099999996</v>
      </c>
      <c r="E21" s="145">
        <f>E11-E17</f>
        <v>4148954.03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4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6167157.0300000003</v>
      </c>
      <c r="E26" s="206">
        <f>D21</f>
        <v>6303578.8099999996</v>
      </c>
    </row>
    <row r="27" spans="2:6">
      <c r="B27" s="9" t="s">
        <v>17</v>
      </c>
      <c r="C27" s="10" t="s">
        <v>111</v>
      </c>
      <c r="D27" s="285">
        <v>-568640.59000000032</v>
      </c>
      <c r="E27" s="240">
        <v>-2176615.06</v>
      </c>
      <c r="F27" s="70"/>
    </row>
    <row r="28" spans="2:6">
      <c r="B28" s="9" t="s">
        <v>18</v>
      </c>
      <c r="C28" s="10" t="s">
        <v>19</v>
      </c>
      <c r="D28" s="285">
        <v>2231474.65</v>
      </c>
      <c r="E28" s="241">
        <v>11359.95</v>
      </c>
      <c r="F28" s="70"/>
    </row>
    <row r="29" spans="2:6">
      <c r="B29" s="175" t="s">
        <v>4</v>
      </c>
      <c r="C29" s="168" t="s">
        <v>20</v>
      </c>
      <c r="D29" s="286">
        <v>23259.29</v>
      </c>
      <c r="E29" s="242">
        <v>11359.95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2208215.36</v>
      </c>
      <c r="E31" s="242"/>
      <c r="F31" s="70"/>
    </row>
    <row r="32" spans="2:6">
      <c r="B32" s="89" t="s">
        <v>23</v>
      </c>
      <c r="C32" s="11" t="s">
        <v>24</v>
      </c>
      <c r="D32" s="285">
        <v>2800115.24</v>
      </c>
      <c r="E32" s="241">
        <v>2187975.0099999998</v>
      </c>
      <c r="F32" s="70"/>
    </row>
    <row r="33" spans="2:6">
      <c r="B33" s="175" t="s">
        <v>4</v>
      </c>
      <c r="C33" s="168" t="s">
        <v>25</v>
      </c>
      <c r="D33" s="286">
        <v>146657.15</v>
      </c>
      <c r="E33" s="242">
        <v>2135243.15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10351.65</v>
      </c>
      <c r="E35" s="242">
        <v>8407.8700000000008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39531.279999999999</v>
      </c>
      <c r="E37" s="242">
        <v>44288.99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2603575.16</v>
      </c>
      <c r="E39" s="243">
        <v>35</v>
      </c>
      <c r="F39" s="70"/>
    </row>
    <row r="40" spans="2:6" ht="13.5" thickBot="1">
      <c r="B40" s="94" t="s">
        <v>35</v>
      </c>
      <c r="C40" s="95" t="s">
        <v>36</v>
      </c>
      <c r="D40" s="288">
        <v>34020.35</v>
      </c>
      <c r="E40" s="245">
        <v>21990.28</v>
      </c>
    </row>
    <row r="41" spans="2:6" ht="13.5" thickBot="1">
      <c r="B41" s="96" t="s">
        <v>37</v>
      </c>
      <c r="C41" s="97" t="s">
        <v>38</v>
      </c>
      <c r="D41" s="289">
        <v>5632536.7899999991</v>
      </c>
      <c r="E41" s="145">
        <f>E26+E27+E40</f>
        <v>4148954.0299999993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39003.016900000002</v>
      </c>
      <c r="E47" s="146">
        <v>39150.231699999997</v>
      </c>
    </row>
    <row r="48" spans="2:6">
      <c r="B48" s="120" t="s">
        <v>6</v>
      </c>
      <c r="C48" s="22" t="s">
        <v>41</v>
      </c>
      <c r="D48" s="299">
        <v>35648.966999999997</v>
      </c>
      <c r="E48" s="328">
        <v>25728.351900000001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158.12</v>
      </c>
      <c r="E50" s="146">
        <v>161.01</v>
      </c>
    </row>
    <row r="51" spans="2:5">
      <c r="B51" s="99" t="s">
        <v>6</v>
      </c>
      <c r="C51" s="15" t="s">
        <v>114</v>
      </c>
      <c r="D51" s="299">
        <v>155.15</v>
      </c>
      <c r="E51" s="72">
        <v>160.74</v>
      </c>
    </row>
    <row r="52" spans="2:5">
      <c r="B52" s="99" t="s">
        <v>8</v>
      </c>
      <c r="C52" s="15" t="s">
        <v>115</v>
      </c>
      <c r="D52" s="299">
        <v>158.63</v>
      </c>
      <c r="E52" s="72">
        <v>162.46</v>
      </c>
    </row>
    <row r="53" spans="2:5" ht="12.75" customHeight="1" thickBot="1">
      <c r="B53" s="100" t="s">
        <v>9</v>
      </c>
      <c r="C53" s="17" t="s">
        <v>41</v>
      </c>
      <c r="D53" s="297">
        <v>158</v>
      </c>
      <c r="E53" s="329">
        <v>161.26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4148954.03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4148954.03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4148954.03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4148954.03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000000000000005" bottom="0.56000000000000005" header="0.5" footer="0.5"/>
  <pageSetup paperSize="9" scale="7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153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12172927.93</v>
      </c>
      <c r="E11" s="211">
        <f>SUM(E12:E14)</f>
        <v>10269739.68</v>
      </c>
    </row>
    <row r="12" spans="2:7">
      <c r="B12" s="103" t="s">
        <v>4</v>
      </c>
      <c r="C12" s="6" t="s">
        <v>5</v>
      </c>
      <c r="D12" s="271">
        <v>12172927.93</v>
      </c>
      <c r="E12" s="216">
        <v>10269739.68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12172927.93</v>
      </c>
      <c r="E21" s="145">
        <f>E11-E17</f>
        <v>10269739.68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15612415.41</v>
      </c>
      <c r="E26" s="206">
        <f>D21</f>
        <v>12172927.93</v>
      </c>
    </row>
    <row r="27" spans="2:6">
      <c r="B27" s="9" t="s">
        <v>17</v>
      </c>
      <c r="C27" s="10" t="s">
        <v>111</v>
      </c>
      <c r="D27" s="285">
        <v>-2536804.4000000004</v>
      </c>
      <c r="E27" s="240">
        <v>-1764073.75</v>
      </c>
      <c r="F27" s="70"/>
    </row>
    <row r="28" spans="2:6">
      <c r="B28" s="9" t="s">
        <v>18</v>
      </c>
      <c r="C28" s="10" t="s">
        <v>19</v>
      </c>
      <c r="D28" s="285">
        <v>37183.550000000003</v>
      </c>
      <c r="E28" s="241">
        <v>76037.210000000006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37183.550000000003</v>
      </c>
      <c r="E31" s="242">
        <v>76037.210000000006</v>
      </c>
      <c r="F31" s="70"/>
    </row>
    <row r="32" spans="2:6">
      <c r="B32" s="89" t="s">
        <v>23</v>
      </c>
      <c r="C32" s="11" t="s">
        <v>24</v>
      </c>
      <c r="D32" s="285">
        <v>2573987.9500000002</v>
      </c>
      <c r="E32" s="241">
        <v>1840110.96</v>
      </c>
      <c r="F32" s="70"/>
    </row>
    <row r="33" spans="2:6">
      <c r="B33" s="101" t="s">
        <v>4</v>
      </c>
      <c r="C33" s="6" t="s">
        <v>25</v>
      </c>
      <c r="D33" s="286">
        <v>2420145.5499999998</v>
      </c>
      <c r="E33" s="242">
        <v>1550632.01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14919.62</v>
      </c>
      <c r="E35" s="242">
        <v>8702.0300000000007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136368.43</v>
      </c>
      <c r="E37" s="242">
        <v>105004.15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2554.35</v>
      </c>
      <c r="E39" s="243">
        <v>175772.77</v>
      </c>
      <c r="F39" s="70"/>
    </row>
    <row r="40" spans="2:6" ht="13.5" thickBot="1">
      <c r="B40" s="94" t="s">
        <v>35</v>
      </c>
      <c r="C40" s="95" t="s">
        <v>36</v>
      </c>
      <c r="D40" s="288">
        <v>587882.25</v>
      </c>
      <c r="E40" s="245">
        <v>-139114.5</v>
      </c>
    </row>
    <row r="41" spans="2:6" ht="13.5" thickBot="1">
      <c r="B41" s="96" t="s">
        <v>37</v>
      </c>
      <c r="C41" s="97" t="s">
        <v>38</v>
      </c>
      <c r="D41" s="289">
        <v>13663493.26</v>
      </c>
      <c r="E41" s="145">
        <f>E26+E27+E40</f>
        <v>10269739.68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105911.50809999999</v>
      </c>
      <c r="E47" s="146">
        <v>77687.969400000002</v>
      </c>
    </row>
    <row r="48" spans="2:6">
      <c r="B48" s="120" t="s">
        <v>6</v>
      </c>
      <c r="C48" s="22" t="s">
        <v>41</v>
      </c>
      <c r="D48" s="299">
        <v>88798.942299999995</v>
      </c>
      <c r="E48" s="328">
        <v>66397.748000000007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147.41</v>
      </c>
      <c r="E50" s="146">
        <v>156.69</v>
      </c>
    </row>
    <row r="51" spans="2:5">
      <c r="B51" s="99" t="s">
        <v>6</v>
      </c>
      <c r="C51" s="15" t="s">
        <v>114</v>
      </c>
      <c r="D51" s="299">
        <v>146.54</v>
      </c>
      <c r="E51" s="72">
        <v>153.81</v>
      </c>
    </row>
    <row r="52" spans="2:5">
      <c r="B52" s="99" t="s">
        <v>8</v>
      </c>
      <c r="C52" s="15" t="s">
        <v>115</v>
      </c>
      <c r="D52" s="299">
        <v>153.87</v>
      </c>
      <c r="E52" s="72">
        <v>157.69</v>
      </c>
    </row>
    <row r="53" spans="2:5" ht="12.75" customHeight="1" thickBot="1">
      <c r="B53" s="100" t="s">
        <v>9</v>
      </c>
      <c r="C53" s="17" t="s">
        <v>41</v>
      </c>
      <c r="D53" s="297">
        <v>153.87</v>
      </c>
      <c r="E53" s="329">
        <v>154.66999999999999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10269739.68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10269739.68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10269739.68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10269739.68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" bottom="0.33" header="0.5" footer="0.5"/>
  <pageSetup paperSize="9" scale="7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/>
  <dimension ref="A1:G81"/>
  <sheetViews>
    <sheetView topLeftCell="A19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  <c r="G4" s="166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154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111468.7</v>
      </c>
      <c r="E11" s="211">
        <f>SUM(E12:E14)</f>
        <v>128195.96</v>
      </c>
    </row>
    <row r="12" spans="2:7">
      <c r="B12" s="103" t="s">
        <v>4</v>
      </c>
      <c r="C12" s="6" t="s">
        <v>5</v>
      </c>
      <c r="D12" s="271">
        <v>111468.7</v>
      </c>
      <c r="E12" s="216">
        <v>128195.96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111468.7</v>
      </c>
      <c r="E21" s="145">
        <f>E11-E17</f>
        <v>128195.96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92509.25</v>
      </c>
      <c r="E26" s="206">
        <f>D21</f>
        <v>111468.7</v>
      </c>
    </row>
    <row r="27" spans="2:6">
      <c r="B27" s="9" t="s">
        <v>17</v>
      </c>
      <c r="C27" s="10" t="s">
        <v>111</v>
      </c>
      <c r="D27" s="285">
        <v>-141.16999999999996</v>
      </c>
      <c r="E27" s="240">
        <v>-7372.09</v>
      </c>
      <c r="F27" s="70"/>
    </row>
    <row r="28" spans="2:6">
      <c r="B28" s="9" t="s">
        <v>18</v>
      </c>
      <c r="C28" s="10" t="s">
        <v>19</v>
      </c>
      <c r="D28" s="285">
        <v>500</v>
      </c>
      <c r="E28" s="241">
        <v>511.4</v>
      </c>
      <c r="F28" s="70"/>
    </row>
    <row r="29" spans="2:6">
      <c r="B29" s="101" t="s">
        <v>4</v>
      </c>
      <c r="C29" s="6" t="s">
        <v>20</v>
      </c>
      <c r="D29" s="286">
        <v>500</v>
      </c>
      <c r="E29" s="242">
        <v>511.4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641.16999999999996</v>
      </c>
      <c r="E32" s="241">
        <v>7883.49</v>
      </c>
      <c r="F32" s="70"/>
    </row>
    <row r="33" spans="2:6">
      <c r="B33" s="101" t="s">
        <v>4</v>
      </c>
      <c r="C33" s="6" t="s">
        <v>25</v>
      </c>
      <c r="D33" s="286"/>
      <c r="E33" s="242">
        <v>7218.1299999999992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138.47999999999999</v>
      </c>
      <c r="E35" s="242">
        <v>41.04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502.69</v>
      </c>
      <c r="E37" s="242">
        <v>624.32000000000005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-1993.68</v>
      </c>
      <c r="E40" s="245">
        <v>24099.35</v>
      </c>
    </row>
    <row r="41" spans="2:6" ht="13.5" thickBot="1">
      <c r="B41" s="96" t="s">
        <v>37</v>
      </c>
      <c r="C41" s="97" t="s">
        <v>38</v>
      </c>
      <c r="D41" s="289">
        <v>90374.400000000009</v>
      </c>
      <c r="E41" s="145">
        <f>E26+E27+E40</f>
        <v>128195.95999999999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1031.3183000000001</v>
      </c>
      <c r="E47" s="146">
        <v>1010.9623</v>
      </c>
    </row>
    <row r="48" spans="2:6">
      <c r="B48" s="120" t="s">
        <v>6</v>
      </c>
      <c r="C48" s="22" t="s">
        <v>41</v>
      </c>
      <c r="D48" s="299">
        <v>1029.5556999999999</v>
      </c>
      <c r="E48" s="328">
        <v>954.33600000000001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89.7</v>
      </c>
      <c r="E50" s="146">
        <v>110.26</v>
      </c>
    </row>
    <row r="51" spans="2:5">
      <c r="B51" s="99" t="s">
        <v>6</v>
      </c>
      <c r="C51" s="15" t="s">
        <v>114</v>
      </c>
      <c r="D51" s="299">
        <v>61.46</v>
      </c>
      <c r="E51" s="146">
        <v>110.26</v>
      </c>
    </row>
    <row r="52" spans="2:5">
      <c r="B52" s="99" t="s">
        <v>8</v>
      </c>
      <c r="C52" s="15" t="s">
        <v>115</v>
      </c>
      <c r="D52" s="299">
        <v>93.12</v>
      </c>
      <c r="E52" s="72">
        <v>135.83000000000001</v>
      </c>
    </row>
    <row r="53" spans="2:5" ht="13.5" customHeight="1" thickBot="1">
      <c r="B53" s="100" t="s">
        <v>9</v>
      </c>
      <c r="C53" s="17" t="s">
        <v>41</v>
      </c>
      <c r="D53" s="297">
        <v>87.78</v>
      </c>
      <c r="E53" s="329">
        <v>134.33000000000001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128195.96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128195.96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128195.96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128195.96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76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/>
  <dimension ref="A1:G81"/>
  <sheetViews>
    <sheetView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155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63971.34</v>
      </c>
      <c r="E11" s="211">
        <f>SUM(E12:E14)</f>
        <v>70552.259999999995</v>
      </c>
    </row>
    <row r="12" spans="2:7">
      <c r="B12" s="103" t="s">
        <v>4</v>
      </c>
      <c r="C12" s="6" t="s">
        <v>5</v>
      </c>
      <c r="D12" s="271">
        <v>63971.34</v>
      </c>
      <c r="E12" s="216">
        <v>70552.259999999995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63971.34</v>
      </c>
      <c r="E21" s="145">
        <f>E11-E17</f>
        <v>70552.259999999995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54663.37</v>
      </c>
      <c r="E26" s="206">
        <f>D21</f>
        <v>63971.34</v>
      </c>
    </row>
    <row r="27" spans="2:6">
      <c r="B27" s="9" t="s">
        <v>17</v>
      </c>
      <c r="C27" s="10" t="s">
        <v>111</v>
      </c>
      <c r="D27" s="285">
        <v>-500.23</v>
      </c>
      <c r="E27" s="240">
        <v>-610.16999999999996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500.23</v>
      </c>
      <c r="E32" s="241">
        <v>610.16999999999996</v>
      </c>
      <c r="F32" s="70"/>
    </row>
    <row r="33" spans="2:6">
      <c r="B33" s="101" t="s">
        <v>4</v>
      </c>
      <c r="C33" s="6" t="s">
        <v>25</v>
      </c>
      <c r="D33" s="286"/>
      <c r="E33" s="242"/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47.84</v>
      </c>
      <c r="E35" s="242">
        <v>48.85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452.39</v>
      </c>
      <c r="E37" s="242">
        <v>561.32000000000005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-2746.55</v>
      </c>
      <c r="E40" s="245">
        <v>7191.09</v>
      </c>
    </row>
    <row r="41" spans="2:6" ht="13.5" thickBot="1">
      <c r="B41" s="96" t="s">
        <v>37</v>
      </c>
      <c r="C41" s="97" t="s">
        <v>38</v>
      </c>
      <c r="D41" s="289">
        <v>51416.59</v>
      </c>
      <c r="E41" s="145">
        <f>E26+E27+E40</f>
        <v>70552.259999999995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416.29250000000002</v>
      </c>
      <c r="E47" s="146">
        <v>408.52760000000001</v>
      </c>
    </row>
    <row r="48" spans="2:6">
      <c r="B48" s="120" t="s">
        <v>6</v>
      </c>
      <c r="C48" s="22" t="s">
        <v>41</v>
      </c>
      <c r="D48" s="299">
        <v>412.19009999999997</v>
      </c>
      <c r="E48" s="328">
        <v>404.79809999999998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131.31</v>
      </c>
      <c r="E50" s="146">
        <v>156.59</v>
      </c>
    </row>
    <row r="51" spans="2:5">
      <c r="B51" s="99" t="s">
        <v>6</v>
      </c>
      <c r="C51" s="15" t="s">
        <v>114</v>
      </c>
      <c r="D51" s="299">
        <v>92.54</v>
      </c>
      <c r="E51" s="72">
        <v>156.59</v>
      </c>
    </row>
    <row r="52" spans="2:5">
      <c r="B52" s="99" t="s">
        <v>8</v>
      </c>
      <c r="C52" s="15" t="s">
        <v>115</v>
      </c>
      <c r="D52" s="299">
        <v>137.16999999999999</v>
      </c>
      <c r="E52" s="72">
        <v>174.47</v>
      </c>
    </row>
    <row r="53" spans="2:5" ht="12.75" customHeight="1" thickBot="1">
      <c r="B53" s="100" t="s">
        <v>9</v>
      </c>
      <c r="C53" s="17" t="s">
        <v>41</v>
      </c>
      <c r="D53" s="297">
        <v>124.74</v>
      </c>
      <c r="E53" s="329">
        <v>174.29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70552.259999999995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70552.259999999995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70552.259999999995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70552.259999999995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1" bottom="0.52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  <col min="9" max="9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139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30" t="s">
        <v>255</v>
      </c>
      <c r="E10" s="229" t="s">
        <v>260</v>
      </c>
    </row>
    <row r="11" spans="2:7">
      <c r="B11" s="87" t="s">
        <v>3</v>
      </c>
      <c r="C11" s="125" t="s">
        <v>109</v>
      </c>
      <c r="D11" s="270">
        <v>72693530.450000018</v>
      </c>
      <c r="E11" s="211">
        <f>SUM(E12:E14)</f>
        <v>76972296.099999994</v>
      </c>
    </row>
    <row r="12" spans="2:7">
      <c r="B12" s="103" t="s">
        <v>4</v>
      </c>
      <c r="C12" s="6" t="s">
        <v>5</v>
      </c>
      <c r="D12" s="271">
        <v>72022603.890000015</v>
      </c>
      <c r="E12" s="216">
        <f>76900914.14+289436.91-1582944.59</f>
        <v>75607406.459999993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>
        <v>670926.56000000006</v>
      </c>
      <c r="E14" s="217">
        <f>E15</f>
        <v>1364889.64</v>
      </c>
    </row>
    <row r="15" spans="2:7">
      <c r="B15" s="103" t="s">
        <v>106</v>
      </c>
      <c r="C15" s="67" t="s">
        <v>11</v>
      </c>
      <c r="D15" s="272">
        <v>670926.56000000006</v>
      </c>
      <c r="E15" s="217">
        <v>1364889.64</v>
      </c>
    </row>
    <row r="16" spans="2:7">
      <c r="B16" s="104" t="s">
        <v>107</v>
      </c>
      <c r="C16" s="88" t="s">
        <v>12</v>
      </c>
      <c r="D16" s="273"/>
      <c r="E16" s="218"/>
    </row>
    <row r="17" spans="2:9">
      <c r="B17" s="9" t="s">
        <v>13</v>
      </c>
      <c r="C17" s="11" t="s">
        <v>65</v>
      </c>
      <c r="D17" s="274">
        <v>93672.23</v>
      </c>
      <c r="E17" s="219">
        <f>E18</f>
        <v>1406712.91</v>
      </c>
    </row>
    <row r="18" spans="2:9">
      <c r="B18" s="103" t="s">
        <v>4</v>
      </c>
      <c r="C18" s="6" t="s">
        <v>11</v>
      </c>
      <c r="D18" s="273">
        <v>93672.23</v>
      </c>
      <c r="E18" s="218">
        <v>1406712.91</v>
      </c>
    </row>
    <row r="19" spans="2:9" ht="15" customHeight="1">
      <c r="B19" s="103" t="s">
        <v>6</v>
      </c>
      <c r="C19" s="67" t="s">
        <v>108</v>
      </c>
      <c r="D19" s="272"/>
      <c r="E19" s="217"/>
    </row>
    <row r="20" spans="2:9" ht="13.5" customHeight="1" thickBot="1">
      <c r="B20" s="105" t="s">
        <v>8</v>
      </c>
      <c r="C20" s="68" t="s">
        <v>14</v>
      </c>
      <c r="D20" s="275"/>
      <c r="E20" s="212"/>
      <c r="I20" s="70"/>
    </row>
    <row r="21" spans="2:9" ht="13.5" thickBot="1">
      <c r="B21" s="362" t="s">
        <v>110</v>
      </c>
      <c r="C21" s="363"/>
      <c r="D21" s="276">
        <v>72599858.220000014</v>
      </c>
      <c r="E21" s="145">
        <f>E11-E17</f>
        <v>75565583.189999998</v>
      </c>
      <c r="F21" s="74"/>
    </row>
    <row r="22" spans="2:9">
      <c r="B22" s="3"/>
      <c r="C22" s="7"/>
      <c r="D22" s="8"/>
      <c r="E22" s="8"/>
    </row>
    <row r="23" spans="2:9" ht="13.5">
      <c r="B23" s="356" t="s">
        <v>104</v>
      </c>
      <c r="C23" s="368"/>
      <c r="D23" s="368"/>
      <c r="E23" s="368"/>
    </row>
    <row r="24" spans="2:9" ht="15.75" customHeight="1" thickBot="1">
      <c r="B24" s="355" t="s">
        <v>105</v>
      </c>
      <c r="C24" s="369"/>
      <c r="D24" s="369"/>
      <c r="E24" s="369"/>
    </row>
    <row r="25" spans="2:9" ht="13.5" thickBot="1">
      <c r="B25" s="83"/>
      <c r="C25" s="5" t="s">
        <v>2</v>
      </c>
      <c r="D25" s="69" t="s">
        <v>262</v>
      </c>
      <c r="E25" s="223" t="s">
        <v>260</v>
      </c>
    </row>
    <row r="26" spans="2:9">
      <c r="B26" s="92" t="s">
        <v>15</v>
      </c>
      <c r="C26" s="93" t="s">
        <v>16</v>
      </c>
      <c r="D26" s="284">
        <v>69838570.810000002</v>
      </c>
      <c r="E26" s="206">
        <f>D21</f>
        <v>72599858.220000014</v>
      </c>
    </row>
    <row r="27" spans="2:9">
      <c r="B27" s="9" t="s">
        <v>17</v>
      </c>
      <c r="C27" s="10" t="s">
        <v>111</v>
      </c>
      <c r="D27" s="285">
        <v>312601.16000000108</v>
      </c>
      <c r="E27" s="247">
        <v>2324385.0699999994</v>
      </c>
      <c r="F27" s="70"/>
    </row>
    <row r="28" spans="2:9">
      <c r="B28" s="9" t="s">
        <v>18</v>
      </c>
      <c r="C28" s="10" t="s">
        <v>19</v>
      </c>
      <c r="D28" s="285">
        <v>6857276.6200000001</v>
      </c>
      <c r="E28" s="247">
        <v>9137160.1899999995</v>
      </c>
      <c r="F28" s="70"/>
    </row>
    <row r="29" spans="2:9">
      <c r="B29" s="101" t="s">
        <v>4</v>
      </c>
      <c r="C29" s="6" t="s">
        <v>20</v>
      </c>
      <c r="D29" s="286">
        <v>5200763.0999999996</v>
      </c>
      <c r="E29" s="248">
        <v>6915738.3799999999</v>
      </c>
      <c r="F29" s="70"/>
    </row>
    <row r="30" spans="2:9">
      <c r="B30" s="101" t="s">
        <v>6</v>
      </c>
      <c r="C30" s="6" t="s">
        <v>21</v>
      </c>
      <c r="D30" s="286"/>
      <c r="E30" s="248"/>
      <c r="F30" s="70"/>
    </row>
    <row r="31" spans="2:9">
      <c r="B31" s="101" t="s">
        <v>8</v>
      </c>
      <c r="C31" s="6" t="s">
        <v>22</v>
      </c>
      <c r="D31" s="286">
        <v>1656513.52</v>
      </c>
      <c r="E31" s="248">
        <v>2221421.81</v>
      </c>
      <c r="F31" s="70"/>
    </row>
    <row r="32" spans="2:9">
      <c r="B32" s="89" t="s">
        <v>23</v>
      </c>
      <c r="C32" s="11" t="s">
        <v>24</v>
      </c>
      <c r="D32" s="285">
        <v>6544675.459999999</v>
      </c>
      <c r="E32" s="247">
        <v>6812775.1200000001</v>
      </c>
      <c r="F32" s="70"/>
    </row>
    <row r="33" spans="2:6">
      <c r="B33" s="101" t="s">
        <v>4</v>
      </c>
      <c r="C33" s="6" t="s">
        <v>25</v>
      </c>
      <c r="D33" s="286">
        <v>4492956.6499999994</v>
      </c>
      <c r="E33" s="248">
        <v>3675850.5</v>
      </c>
      <c r="F33" s="70"/>
    </row>
    <row r="34" spans="2:6">
      <c r="B34" s="101" t="s">
        <v>6</v>
      </c>
      <c r="C34" s="6" t="s">
        <v>26</v>
      </c>
      <c r="D34" s="286"/>
      <c r="E34" s="248"/>
      <c r="F34" s="70"/>
    </row>
    <row r="35" spans="2:6">
      <c r="B35" s="101" t="s">
        <v>8</v>
      </c>
      <c r="C35" s="6" t="s">
        <v>27</v>
      </c>
      <c r="D35" s="286">
        <v>609709.05999999994</v>
      </c>
      <c r="E35" s="248">
        <v>559795.49</v>
      </c>
      <c r="F35" s="70"/>
    </row>
    <row r="36" spans="2:6">
      <c r="B36" s="101" t="s">
        <v>9</v>
      </c>
      <c r="C36" s="6" t="s">
        <v>28</v>
      </c>
      <c r="D36" s="286"/>
      <c r="E36" s="248"/>
      <c r="F36" s="70"/>
    </row>
    <row r="37" spans="2:6" ht="25.5">
      <c r="B37" s="101" t="s">
        <v>29</v>
      </c>
      <c r="C37" s="6" t="s">
        <v>30</v>
      </c>
      <c r="D37" s="286"/>
      <c r="E37" s="248"/>
      <c r="F37" s="70"/>
    </row>
    <row r="38" spans="2:6">
      <c r="B38" s="101" t="s">
        <v>31</v>
      </c>
      <c r="C38" s="6" t="s">
        <v>32</v>
      </c>
      <c r="D38" s="286"/>
      <c r="E38" s="248"/>
      <c r="F38" s="70"/>
    </row>
    <row r="39" spans="2:6">
      <c r="B39" s="102" t="s">
        <v>33</v>
      </c>
      <c r="C39" s="12" t="s">
        <v>34</v>
      </c>
      <c r="D39" s="287">
        <v>1442009.75</v>
      </c>
      <c r="E39" s="248">
        <v>2577129.13</v>
      </c>
      <c r="F39" s="70"/>
    </row>
    <row r="40" spans="2:6" ht="13.5" thickBot="1">
      <c r="B40" s="94" t="s">
        <v>35</v>
      </c>
      <c r="C40" s="95" t="s">
        <v>36</v>
      </c>
      <c r="D40" s="288">
        <v>-1247390.3899999999</v>
      </c>
      <c r="E40" s="245">
        <v>641339.9</v>
      </c>
    </row>
    <row r="41" spans="2:6" ht="13.5" thickBot="1">
      <c r="B41" s="96" t="s">
        <v>37</v>
      </c>
      <c r="C41" s="97" t="s">
        <v>38</v>
      </c>
      <c r="D41" s="289">
        <v>68903781.579999998</v>
      </c>
      <c r="E41" s="145">
        <f>E26+E27+E40</f>
        <v>75565583.190000013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.7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200"/>
      <c r="E46" s="28"/>
    </row>
    <row r="47" spans="2:6">
      <c r="B47" s="99" t="s">
        <v>4</v>
      </c>
      <c r="C47" s="15" t="s">
        <v>40</v>
      </c>
      <c r="D47" s="299">
        <v>1496773.2821000002</v>
      </c>
      <c r="E47" s="300">
        <v>1558649.7688</v>
      </c>
    </row>
    <row r="48" spans="2:6">
      <c r="B48" s="120" t="s">
        <v>6</v>
      </c>
      <c r="C48" s="22" t="s">
        <v>41</v>
      </c>
      <c r="D48" s="299">
        <v>1503156.1379</v>
      </c>
      <c r="E48" s="291">
        <v>1608670.7582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46.659399999999998</v>
      </c>
      <c r="E50" s="300">
        <v>46.578700000000005</v>
      </c>
    </row>
    <row r="51" spans="2:5">
      <c r="B51" s="99" t="s">
        <v>6</v>
      </c>
      <c r="C51" s="15" t="s">
        <v>114</v>
      </c>
      <c r="D51" s="299">
        <v>45.153700000000001</v>
      </c>
      <c r="E51" s="300">
        <v>46.578699999999998</v>
      </c>
    </row>
    <row r="52" spans="2:5">
      <c r="B52" s="99" t="s">
        <v>8</v>
      </c>
      <c r="C52" s="15" t="s">
        <v>115</v>
      </c>
      <c r="D52" s="299">
        <v>46.864600000000003</v>
      </c>
      <c r="E52" s="72">
        <v>46.979900000000001</v>
      </c>
    </row>
    <row r="53" spans="2:5" ht="13.5" customHeight="1" thickBot="1">
      <c r="B53" s="100" t="s">
        <v>9</v>
      </c>
      <c r="C53" s="17" t="s">
        <v>41</v>
      </c>
      <c r="D53" s="297">
        <v>45.839399999999998</v>
      </c>
      <c r="E53" s="305">
        <v>46.9739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75607406.459999993</v>
      </c>
      <c r="E58" s="31">
        <f>D58/E21</f>
        <v>1.0005534698236211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5.5">
      <c r="B60" s="14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0</v>
      </c>
      <c r="E62" s="76">
        <v>0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306">
        <f>76900914.14-1582944.59</f>
        <v>75317969.549999997</v>
      </c>
      <c r="E64" s="78">
        <f>D64/E21</f>
        <v>0.9967231955402579</v>
      </c>
    </row>
    <row r="65" spans="2:5">
      <c r="B65" s="21" t="s">
        <v>33</v>
      </c>
      <c r="C65" s="22" t="s">
        <v>118</v>
      </c>
      <c r="D65" s="77">
        <v>0</v>
      </c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298">
        <v>289436.90999999997</v>
      </c>
      <c r="E69" s="76">
        <f>D69/E21</f>
        <v>3.830274283363206E-3</v>
      </c>
    </row>
    <row r="70" spans="2:5">
      <c r="B70" s="109" t="s">
        <v>58</v>
      </c>
      <c r="C70" s="110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1364889.64</v>
      </c>
      <c r="E72" s="116">
        <f>D72/E21</f>
        <v>1.806231861624305E-2</v>
      </c>
    </row>
    <row r="73" spans="2:5">
      <c r="B73" s="23" t="s">
        <v>62</v>
      </c>
      <c r="C73" s="24" t="s">
        <v>65</v>
      </c>
      <c r="D73" s="25">
        <f>E17</f>
        <v>1406712.91</v>
      </c>
      <c r="E73" s="26">
        <f>D73/E21</f>
        <v>1.8615788439864219E-2</v>
      </c>
    </row>
    <row r="74" spans="2:5">
      <c r="B74" s="117" t="s">
        <v>64</v>
      </c>
      <c r="C74" s="118" t="s">
        <v>66</v>
      </c>
      <c r="D74" s="119">
        <f>D58++D71+D72-D73</f>
        <v>75565583.189999998</v>
      </c>
      <c r="E74" s="65">
        <f>E58+E72-E73</f>
        <v>0.99999999999999989</v>
      </c>
    </row>
    <row r="75" spans="2:5">
      <c r="B75" s="14" t="s">
        <v>4</v>
      </c>
      <c r="C75" s="15" t="s">
        <v>67</v>
      </c>
      <c r="D75" s="75">
        <f>D74</f>
        <v>75565583.189999998</v>
      </c>
      <c r="E75" s="76">
        <f>E74</f>
        <v>0.99999999999999989</v>
      </c>
    </row>
    <row r="76" spans="2:5">
      <c r="B76" s="14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01"/>
      <c r="E78" s="201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1" bottom="0.33" header="0.5" footer="0.5"/>
  <pageSetup paperSize="9" scale="70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256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112691.93</v>
      </c>
      <c r="E11" s="211">
        <f>SUM(E12:E14)</f>
        <v>100023.79</v>
      </c>
    </row>
    <row r="12" spans="2:7">
      <c r="B12" s="103" t="s">
        <v>4</v>
      </c>
      <c r="C12" s="6" t="s">
        <v>5</v>
      </c>
      <c r="D12" s="271">
        <v>112691.93</v>
      </c>
      <c r="E12" s="216">
        <v>100023.79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112691.93</v>
      </c>
      <c r="E21" s="145">
        <f>E11-E17</f>
        <v>100023.79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85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131110.59</v>
      </c>
      <c r="E26" s="206">
        <f>D21</f>
        <v>112691.93</v>
      </c>
    </row>
    <row r="27" spans="2:6">
      <c r="B27" s="9" t="s">
        <v>17</v>
      </c>
      <c r="C27" s="10" t="s">
        <v>111</v>
      </c>
      <c r="D27" s="285">
        <v>-923.17</v>
      </c>
      <c r="E27" s="240">
        <v>-995.25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923.17</v>
      </c>
      <c r="E32" s="241">
        <v>995.25</v>
      </c>
      <c r="F32" s="70"/>
    </row>
    <row r="33" spans="2:6">
      <c r="B33" s="101" t="s">
        <v>4</v>
      </c>
      <c r="C33" s="6" t="s">
        <v>25</v>
      </c>
      <c r="D33" s="286"/>
      <c r="E33" s="242"/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/>
      <c r="E35" s="242"/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923.17</v>
      </c>
      <c r="E37" s="242">
        <v>995.25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-16846.009999999998</v>
      </c>
      <c r="E40" s="245">
        <v>-11672.89</v>
      </c>
    </row>
    <row r="41" spans="2:6" ht="13.5" thickBot="1">
      <c r="B41" s="96" t="s">
        <v>37</v>
      </c>
      <c r="C41" s="97" t="s">
        <v>38</v>
      </c>
      <c r="D41" s="289">
        <v>113341.41</v>
      </c>
      <c r="E41" s="145">
        <f>E26+E27+E40</f>
        <v>100023.79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85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1378.2255</v>
      </c>
      <c r="E47" s="300">
        <v>1358.0613000000001</v>
      </c>
    </row>
    <row r="48" spans="2:6">
      <c r="B48" s="120" t="s">
        <v>6</v>
      </c>
      <c r="C48" s="22" t="s">
        <v>41</v>
      </c>
      <c r="D48" s="299">
        <v>1367.2064</v>
      </c>
      <c r="E48" s="342">
        <v>1345.4908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95.13</v>
      </c>
      <c r="E50" s="72">
        <v>82.98</v>
      </c>
    </row>
    <row r="51" spans="2:5">
      <c r="B51" s="99" t="s">
        <v>6</v>
      </c>
      <c r="C51" s="15" t="s">
        <v>114</v>
      </c>
      <c r="D51" s="299">
        <v>67.849999999999994</v>
      </c>
      <c r="E51" s="72">
        <v>68.84</v>
      </c>
    </row>
    <row r="52" spans="2:5">
      <c r="B52" s="99" t="s">
        <v>8</v>
      </c>
      <c r="C52" s="15" t="s">
        <v>115</v>
      </c>
      <c r="D52" s="299">
        <v>95.54</v>
      </c>
      <c r="E52" s="72">
        <v>88.03</v>
      </c>
    </row>
    <row r="53" spans="2:5" ht="12.75" customHeight="1" thickBot="1">
      <c r="B53" s="100" t="s">
        <v>9</v>
      </c>
      <c r="C53" s="17" t="s">
        <v>41</v>
      </c>
      <c r="D53" s="297">
        <v>82.9</v>
      </c>
      <c r="E53" s="329">
        <v>74.34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100023.79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100023.79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100023.79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100023.79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3"/>
  <dimension ref="A1:G81"/>
  <sheetViews>
    <sheetView topLeftCell="A19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257</v>
      </c>
      <c r="C6" s="354"/>
      <c r="D6" s="354"/>
      <c r="E6" s="354"/>
    </row>
    <row r="7" spans="2:7" ht="14.25">
      <c r="B7" s="147"/>
      <c r="C7" s="147"/>
      <c r="D7" s="147"/>
      <c r="E7" s="147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8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44542.09</v>
      </c>
      <c r="E11" s="211">
        <f>SUM(E12:E14)</f>
        <v>46869.09</v>
      </c>
    </row>
    <row r="12" spans="2:7">
      <c r="B12" s="103" t="s">
        <v>4</v>
      </c>
      <c r="C12" s="6" t="s">
        <v>5</v>
      </c>
      <c r="D12" s="271">
        <v>44542.09</v>
      </c>
      <c r="E12" s="216">
        <v>46869.09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44542.09</v>
      </c>
      <c r="E21" s="145">
        <f>E11-E17</f>
        <v>46869.09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48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38484.19</v>
      </c>
      <c r="E26" s="206">
        <f>D21</f>
        <v>44542.09</v>
      </c>
    </row>
    <row r="27" spans="2:6">
      <c r="B27" s="9" t="s">
        <v>17</v>
      </c>
      <c r="C27" s="10" t="s">
        <v>111</v>
      </c>
      <c r="D27" s="285">
        <v>-437.8</v>
      </c>
      <c r="E27" s="240">
        <v>-274.73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437.8</v>
      </c>
      <c r="E32" s="241">
        <v>274.73</v>
      </c>
      <c r="F32" s="70"/>
    </row>
    <row r="33" spans="2:6">
      <c r="B33" s="101" t="s">
        <v>4</v>
      </c>
      <c r="C33" s="6" t="s">
        <v>25</v>
      </c>
      <c r="D33" s="286"/>
      <c r="E33" s="242"/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41.37</v>
      </c>
      <c r="E35" s="242">
        <v>21.94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396.43</v>
      </c>
      <c r="E37" s="242">
        <v>252.79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-3985.01</v>
      </c>
      <c r="E40" s="245">
        <v>2601.73</v>
      </c>
    </row>
    <row r="41" spans="2:6" ht="13.5" thickBot="1">
      <c r="B41" s="96" t="s">
        <v>37</v>
      </c>
      <c r="C41" s="97" t="s">
        <v>38</v>
      </c>
      <c r="D41" s="289">
        <v>34061.379999999997</v>
      </c>
      <c r="E41" s="145">
        <f>E26+E27+E40</f>
        <v>46869.09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8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392.53559999999999</v>
      </c>
      <c r="E47" s="300">
        <v>384.01659999999998</v>
      </c>
    </row>
    <row r="48" spans="2:6">
      <c r="B48" s="120" t="s">
        <v>6</v>
      </c>
      <c r="C48" s="22" t="s">
        <v>41</v>
      </c>
      <c r="D48" s="299">
        <v>387.63380000000001</v>
      </c>
      <c r="E48" s="342">
        <v>381.67009999999999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98.04</v>
      </c>
      <c r="E50" s="72">
        <v>115.99</v>
      </c>
    </row>
    <row r="51" spans="2:5">
      <c r="B51" s="99" t="s">
        <v>6</v>
      </c>
      <c r="C51" s="15" t="s">
        <v>114</v>
      </c>
      <c r="D51" s="299">
        <v>67.760000000000005</v>
      </c>
      <c r="E51" s="72">
        <v>104.66</v>
      </c>
    </row>
    <row r="52" spans="2:5">
      <c r="B52" s="99" t="s">
        <v>8</v>
      </c>
      <c r="C52" s="15" t="s">
        <v>115</v>
      </c>
      <c r="D52" s="299">
        <v>100.13</v>
      </c>
      <c r="E52" s="72">
        <v>134.96</v>
      </c>
    </row>
    <row r="53" spans="2:5" ht="13.5" thickBot="1">
      <c r="B53" s="100" t="s">
        <v>9</v>
      </c>
      <c r="C53" s="17" t="s">
        <v>41</v>
      </c>
      <c r="D53" s="297">
        <v>87.87</v>
      </c>
      <c r="E53" s="329">
        <v>122.8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46869.09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46869.09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46869.09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46869.09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156</v>
      </c>
      <c r="C6" s="354"/>
      <c r="D6" s="354"/>
      <c r="E6" s="354"/>
    </row>
    <row r="7" spans="2:7" ht="14.25">
      <c r="B7" s="147"/>
      <c r="C7" s="147"/>
      <c r="D7" s="147"/>
      <c r="E7" s="147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8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472794.69</v>
      </c>
      <c r="E11" s="211">
        <f>SUM(E12:E14)</f>
        <v>693346.78</v>
      </c>
      <c r="F11" s="166"/>
    </row>
    <row r="12" spans="2:7">
      <c r="B12" s="167" t="s">
        <v>4</v>
      </c>
      <c r="C12" s="168" t="s">
        <v>5</v>
      </c>
      <c r="D12" s="271">
        <v>472794.69</v>
      </c>
      <c r="E12" s="216">
        <v>693346.78</v>
      </c>
      <c r="F12" s="166"/>
    </row>
    <row r="13" spans="2:7">
      <c r="B13" s="167" t="s">
        <v>6</v>
      </c>
      <c r="C13" s="169" t="s">
        <v>7</v>
      </c>
      <c r="D13" s="272"/>
      <c r="E13" s="217"/>
      <c r="F13" s="166"/>
    </row>
    <row r="14" spans="2:7">
      <c r="B14" s="167" t="s">
        <v>8</v>
      </c>
      <c r="C14" s="169" t="s">
        <v>10</v>
      </c>
      <c r="D14" s="272"/>
      <c r="E14" s="217"/>
      <c r="F14" s="166"/>
    </row>
    <row r="15" spans="2:7">
      <c r="B15" s="167" t="s">
        <v>106</v>
      </c>
      <c r="C15" s="169" t="s">
        <v>11</v>
      </c>
      <c r="D15" s="272"/>
      <c r="E15" s="217"/>
      <c r="F15" s="166"/>
    </row>
    <row r="16" spans="2:7">
      <c r="B16" s="170" t="s">
        <v>107</v>
      </c>
      <c r="C16" s="171" t="s">
        <v>12</v>
      </c>
      <c r="D16" s="273"/>
      <c r="E16" s="218"/>
      <c r="F16" s="166"/>
    </row>
    <row r="17" spans="2:6">
      <c r="B17" s="9" t="s">
        <v>13</v>
      </c>
      <c r="C17" s="11" t="s">
        <v>65</v>
      </c>
      <c r="D17" s="274"/>
      <c r="E17" s="219"/>
      <c r="F17" s="166"/>
    </row>
    <row r="18" spans="2:6">
      <c r="B18" s="167" t="s">
        <v>4</v>
      </c>
      <c r="C18" s="168" t="s">
        <v>11</v>
      </c>
      <c r="D18" s="273"/>
      <c r="E18" s="218"/>
      <c r="F18" s="166"/>
    </row>
    <row r="19" spans="2:6" ht="15" customHeight="1">
      <c r="B19" s="167" t="s">
        <v>6</v>
      </c>
      <c r="C19" s="169" t="s">
        <v>108</v>
      </c>
      <c r="D19" s="272"/>
      <c r="E19" s="217"/>
      <c r="F19" s="166"/>
    </row>
    <row r="20" spans="2:6" ht="13.5" thickBot="1">
      <c r="B20" s="172" t="s">
        <v>8</v>
      </c>
      <c r="C20" s="173" t="s">
        <v>14</v>
      </c>
      <c r="D20" s="275"/>
      <c r="E20" s="212"/>
      <c r="F20" s="166"/>
    </row>
    <row r="21" spans="2:6" ht="13.5" thickBot="1">
      <c r="B21" s="362" t="s">
        <v>110</v>
      </c>
      <c r="C21" s="363"/>
      <c r="D21" s="276">
        <v>472794.69</v>
      </c>
      <c r="E21" s="145">
        <f>E11-E17</f>
        <v>693346.78</v>
      </c>
      <c r="F21" s="149"/>
    </row>
    <row r="22" spans="2:6">
      <c r="B22" s="3"/>
      <c r="C22" s="7"/>
      <c r="D22" s="8"/>
      <c r="E22" s="8"/>
      <c r="F22" s="166"/>
    </row>
    <row r="23" spans="2:6" ht="13.5">
      <c r="B23" s="356" t="s">
        <v>104</v>
      </c>
      <c r="C23" s="364"/>
      <c r="D23" s="364"/>
      <c r="E23" s="364"/>
      <c r="F23" s="166"/>
    </row>
    <row r="24" spans="2:6" ht="15.75" customHeight="1" thickBot="1">
      <c r="B24" s="355" t="s">
        <v>105</v>
      </c>
      <c r="C24" s="365"/>
      <c r="D24" s="365"/>
      <c r="E24" s="365"/>
      <c r="F24" s="166"/>
    </row>
    <row r="25" spans="2:6" ht="13.5" thickBot="1">
      <c r="B25" s="164"/>
      <c r="C25" s="174" t="s">
        <v>2</v>
      </c>
      <c r="D25" s="256" t="s">
        <v>262</v>
      </c>
      <c r="E25" s="223" t="s">
        <v>260</v>
      </c>
      <c r="F25" s="166"/>
    </row>
    <row r="26" spans="2:6">
      <c r="B26" s="92" t="s">
        <v>15</v>
      </c>
      <c r="C26" s="93" t="s">
        <v>16</v>
      </c>
      <c r="D26" s="284">
        <v>380746.27</v>
      </c>
      <c r="E26" s="206">
        <f>D21</f>
        <v>472794.69</v>
      </c>
      <c r="F26" s="166"/>
    </row>
    <row r="27" spans="2:6">
      <c r="B27" s="9" t="s">
        <v>17</v>
      </c>
      <c r="C27" s="10" t="s">
        <v>111</v>
      </c>
      <c r="D27" s="285">
        <v>89931.690000000031</v>
      </c>
      <c r="E27" s="240">
        <v>130714.89</v>
      </c>
      <c r="F27" s="149"/>
    </row>
    <row r="28" spans="2:6">
      <c r="B28" s="9" t="s">
        <v>18</v>
      </c>
      <c r="C28" s="10" t="s">
        <v>19</v>
      </c>
      <c r="D28" s="285">
        <v>281505.28000000003</v>
      </c>
      <c r="E28" s="241">
        <v>159466.56</v>
      </c>
      <c r="F28" s="149"/>
    </row>
    <row r="29" spans="2:6">
      <c r="B29" s="175" t="s">
        <v>4</v>
      </c>
      <c r="C29" s="168" t="s">
        <v>20</v>
      </c>
      <c r="D29" s="286">
        <v>80073.55</v>
      </c>
      <c r="E29" s="242">
        <v>64413.73</v>
      </c>
      <c r="F29" s="149"/>
    </row>
    <row r="30" spans="2:6">
      <c r="B30" s="175" t="s">
        <v>6</v>
      </c>
      <c r="C30" s="168" t="s">
        <v>21</v>
      </c>
      <c r="D30" s="286"/>
      <c r="E30" s="242"/>
      <c r="F30" s="149"/>
    </row>
    <row r="31" spans="2:6">
      <c r="B31" s="175" t="s">
        <v>8</v>
      </c>
      <c r="C31" s="168" t="s">
        <v>22</v>
      </c>
      <c r="D31" s="286">
        <v>201431.73</v>
      </c>
      <c r="E31" s="242">
        <v>95052.83</v>
      </c>
      <c r="F31" s="149"/>
    </row>
    <row r="32" spans="2:6">
      <c r="B32" s="89" t="s">
        <v>23</v>
      </c>
      <c r="C32" s="11" t="s">
        <v>24</v>
      </c>
      <c r="D32" s="285">
        <v>191573.59</v>
      </c>
      <c r="E32" s="241">
        <v>28751.67</v>
      </c>
      <c r="F32" s="149"/>
    </row>
    <row r="33" spans="2:6">
      <c r="B33" s="175" t="s">
        <v>4</v>
      </c>
      <c r="C33" s="168" t="s">
        <v>25</v>
      </c>
      <c r="D33" s="286">
        <v>25904.05</v>
      </c>
      <c r="E33" s="242">
        <v>16701.82</v>
      </c>
      <c r="F33" s="149"/>
    </row>
    <row r="34" spans="2:6">
      <c r="B34" s="175" t="s">
        <v>6</v>
      </c>
      <c r="C34" s="168" t="s">
        <v>26</v>
      </c>
      <c r="D34" s="286"/>
      <c r="E34" s="242"/>
      <c r="F34" s="149"/>
    </row>
    <row r="35" spans="2:6">
      <c r="B35" s="175" t="s">
        <v>8</v>
      </c>
      <c r="C35" s="168" t="s">
        <v>27</v>
      </c>
      <c r="D35" s="286">
        <v>6469.96</v>
      </c>
      <c r="E35" s="242">
        <v>6161.74</v>
      </c>
      <c r="F35" s="149"/>
    </row>
    <row r="36" spans="2:6">
      <c r="B36" s="175" t="s">
        <v>9</v>
      </c>
      <c r="C36" s="168" t="s">
        <v>28</v>
      </c>
      <c r="D36" s="286"/>
      <c r="E36" s="242"/>
      <c r="F36" s="149"/>
    </row>
    <row r="37" spans="2:6" ht="25.5">
      <c r="B37" s="175" t="s">
        <v>29</v>
      </c>
      <c r="C37" s="168" t="s">
        <v>30</v>
      </c>
      <c r="D37" s="286">
        <v>1432.26</v>
      </c>
      <c r="E37" s="242">
        <v>2051.89</v>
      </c>
      <c r="F37" s="149"/>
    </row>
    <row r="38" spans="2:6">
      <c r="B38" s="175" t="s">
        <v>31</v>
      </c>
      <c r="C38" s="168" t="s">
        <v>32</v>
      </c>
      <c r="D38" s="286"/>
      <c r="E38" s="242"/>
      <c r="F38" s="149"/>
    </row>
    <row r="39" spans="2:6">
      <c r="B39" s="176" t="s">
        <v>33</v>
      </c>
      <c r="C39" s="177" t="s">
        <v>34</v>
      </c>
      <c r="D39" s="287">
        <v>157767.32</v>
      </c>
      <c r="E39" s="243">
        <v>3836.22</v>
      </c>
      <c r="F39" s="149"/>
    </row>
    <row r="40" spans="2:6" ht="13.5" thickBot="1">
      <c r="B40" s="94" t="s">
        <v>35</v>
      </c>
      <c r="C40" s="95" t="s">
        <v>36</v>
      </c>
      <c r="D40" s="288">
        <v>-73272.25</v>
      </c>
      <c r="E40" s="245">
        <v>89837.2</v>
      </c>
      <c r="F40" s="166"/>
    </row>
    <row r="41" spans="2:6" ht="13.5" thickBot="1">
      <c r="B41" s="96" t="s">
        <v>37</v>
      </c>
      <c r="C41" s="97" t="s">
        <v>38</v>
      </c>
      <c r="D41" s="289">
        <v>397405.71000000008</v>
      </c>
      <c r="E41" s="145">
        <f>E26+E27+E40</f>
        <v>693346.77999999991</v>
      </c>
      <c r="F41" s="149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8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2915.3618999999999</v>
      </c>
      <c r="E47" s="300">
        <v>3559.1289999999999</v>
      </c>
    </row>
    <row r="48" spans="2:6">
      <c r="B48" s="120" t="s">
        <v>6</v>
      </c>
      <c r="C48" s="22" t="s">
        <v>41</v>
      </c>
      <c r="D48" s="299">
        <v>3358.4526999999998</v>
      </c>
      <c r="E48" s="342">
        <v>4489.7156000000004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130.6</v>
      </c>
      <c r="E50" s="72">
        <v>132.84</v>
      </c>
    </row>
    <row r="51" spans="2:5">
      <c r="B51" s="99" t="s">
        <v>6</v>
      </c>
      <c r="C51" s="15" t="s">
        <v>114</v>
      </c>
      <c r="D51" s="299">
        <v>105.5</v>
      </c>
      <c r="E51" s="72">
        <v>132.72999999999999</v>
      </c>
    </row>
    <row r="52" spans="2:5">
      <c r="B52" s="99" t="s">
        <v>8</v>
      </c>
      <c r="C52" s="15" t="s">
        <v>115</v>
      </c>
      <c r="D52" s="299">
        <v>138.91</v>
      </c>
      <c r="E52" s="72">
        <v>155.05000000000001</v>
      </c>
    </row>
    <row r="53" spans="2:5" ht="13.5" thickBot="1">
      <c r="B53" s="100" t="s">
        <v>9</v>
      </c>
      <c r="C53" s="17" t="s">
        <v>41</v>
      </c>
      <c r="D53" s="297">
        <v>118.33</v>
      </c>
      <c r="E53" s="329">
        <v>154.43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693346.78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693346.78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693346.78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693346.78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5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157</v>
      </c>
      <c r="C6" s="354"/>
      <c r="D6" s="354"/>
      <c r="E6" s="354"/>
    </row>
    <row r="7" spans="2:7" ht="14.25">
      <c r="B7" s="158"/>
      <c r="C7" s="158"/>
      <c r="D7" s="158"/>
      <c r="E7" s="158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59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220086.21</v>
      </c>
      <c r="E11" s="211">
        <f>SUM(E12:E14)</f>
        <v>250013.38</v>
      </c>
    </row>
    <row r="12" spans="2:7">
      <c r="B12" s="103" t="s">
        <v>4</v>
      </c>
      <c r="C12" s="6" t="s">
        <v>5</v>
      </c>
      <c r="D12" s="271">
        <v>220086.21</v>
      </c>
      <c r="E12" s="216">
        <v>250013.38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220086.21</v>
      </c>
      <c r="E21" s="145">
        <f>E11-E17</f>
        <v>250013.38</v>
      </c>
      <c r="F21" s="74"/>
    </row>
    <row r="22" spans="2:6">
      <c r="B22" s="3"/>
      <c r="C22" s="7"/>
      <c r="D22" s="204"/>
      <c r="E22" s="204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59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157183.93</v>
      </c>
      <c r="E26" s="206">
        <f>D21</f>
        <v>220086.21</v>
      </c>
    </row>
    <row r="27" spans="2:6">
      <c r="B27" s="9" t="s">
        <v>17</v>
      </c>
      <c r="C27" s="10" t="s">
        <v>111</v>
      </c>
      <c r="D27" s="285">
        <v>31147.909999999996</v>
      </c>
      <c r="E27" s="240">
        <v>24619.08</v>
      </c>
      <c r="F27" s="70"/>
    </row>
    <row r="28" spans="2:6">
      <c r="B28" s="9" t="s">
        <v>18</v>
      </c>
      <c r="C28" s="10" t="s">
        <v>19</v>
      </c>
      <c r="D28" s="285">
        <v>53180.149999999994</v>
      </c>
      <c r="E28" s="241">
        <v>34955.089999999997</v>
      </c>
      <c r="F28" s="70"/>
    </row>
    <row r="29" spans="2:6">
      <c r="B29" s="101" t="s">
        <v>4</v>
      </c>
      <c r="C29" s="6" t="s">
        <v>20</v>
      </c>
      <c r="D29" s="286">
        <v>40928.269999999997</v>
      </c>
      <c r="E29" s="242">
        <v>31220.16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12251.88</v>
      </c>
      <c r="E31" s="242">
        <v>3734.93</v>
      </c>
      <c r="F31" s="70"/>
    </row>
    <row r="32" spans="2:6">
      <c r="B32" s="89" t="s">
        <v>23</v>
      </c>
      <c r="C32" s="11" t="s">
        <v>24</v>
      </c>
      <c r="D32" s="285">
        <v>22032.239999999998</v>
      </c>
      <c r="E32" s="241">
        <v>10336.01</v>
      </c>
      <c r="F32" s="70"/>
    </row>
    <row r="33" spans="2:6">
      <c r="B33" s="101" t="s">
        <v>4</v>
      </c>
      <c r="C33" s="6" t="s">
        <v>25</v>
      </c>
      <c r="D33" s="286">
        <v>7700.32</v>
      </c>
      <c r="E33" s="242">
        <v>1460.4899999999998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2589.69</v>
      </c>
      <c r="E35" s="242">
        <v>2433.17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585.16</v>
      </c>
      <c r="E37" s="242">
        <v>777.43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11157.07</v>
      </c>
      <c r="E39" s="243">
        <v>5664.92</v>
      </c>
      <c r="F39" s="70"/>
    </row>
    <row r="40" spans="2:6" ht="13.5" thickBot="1">
      <c r="B40" s="94" t="s">
        <v>35</v>
      </c>
      <c r="C40" s="95" t="s">
        <v>36</v>
      </c>
      <c r="D40" s="288">
        <v>-5463.76</v>
      </c>
      <c r="E40" s="245">
        <v>5308.09</v>
      </c>
    </row>
    <row r="41" spans="2:6" ht="13.5" thickBot="1">
      <c r="B41" s="96" t="s">
        <v>37</v>
      </c>
      <c r="C41" s="97" t="s">
        <v>38</v>
      </c>
      <c r="D41" s="289">
        <v>182868.08</v>
      </c>
      <c r="E41" s="145">
        <f>E26+E27+E40</f>
        <v>250013.37999999998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59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1394.8346999999999</v>
      </c>
      <c r="E47" s="300">
        <v>1914.2925</v>
      </c>
    </row>
    <row r="48" spans="2:6">
      <c r="B48" s="120" t="s">
        <v>6</v>
      </c>
      <c r="C48" s="22" t="s">
        <v>41</v>
      </c>
      <c r="D48" s="299">
        <v>1662.8905999999999</v>
      </c>
      <c r="E48" s="342">
        <v>2126.8683999999998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112.69</v>
      </c>
      <c r="E50" s="72">
        <v>114.97</v>
      </c>
    </row>
    <row r="51" spans="2:5">
      <c r="B51" s="99" t="s">
        <v>6</v>
      </c>
      <c r="C51" s="15" t="s">
        <v>114</v>
      </c>
      <c r="D51" s="299">
        <v>105.16</v>
      </c>
      <c r="E51" s="72">
        <v>114.48</v>
      </c>
    </row>
    <row r="52" spans="2:5">
      <c r="B52" s="99" t="s">
        <v>8</v>
      </c>
      <c r="C52" s="15" t="s">
        <v>115</v>
      </c>
      <c r="D52" s="299">
        <v>116.52</v>
      </c>
      <c r="E52" s="72">
        <v>117.74</v>
      </c>
    </row>
    <row r="53" spans="2:5" ht="13.5" thickBot="1">
      <c r="B53" s="100" t="s">
        <v>9</v>
      </c>
      <c r="C53" s="17" t="s">
        <v>41</v>
      </c>
      <c r="D53" s="297">
        <v>109.97</v>
      </c>
      <c r="E53" s="329">
        <v>117.55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250013.38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250013.38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250013.38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250013.38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6"/>
  <dimension ref="A1:G81"/>
  <sheetViews>
    <sheetView topLeftCell="A19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158</v>
      </c>
      <c r="C6" s="354"/>
      <c r="D6" s="354"/>
      <c r="E6" s="354"/>
    </row>
    <row r="7" spans="2:7" ht="14.25">
      <c r="B7" s="158"/>
      <c r="C7" s="158"/>
      <c r="D7" s="158"/>
      <c r="E7" s="158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59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523121.02999999997</v>
      </c>
      <c r="E11" s="211">
        <f>SUM(E12:E14)</f>
        <v>521252.33</v>
      </c>
    </row>
    <row r="12" spans="2:7">
      <c r="B12" s="103" t="s">
        <v>4</v>
      </c>
      <c r="C12" s="6" t="s">
        <v>5</v>
      </c>
      <c r="D12" s="271">
        <v>523121.02999999997</v>
      </c>
      <c r="E12" s="216">
        <v>521252.33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523121.02999999997</v>
      </c>
      <c r="E21" s="145">
        <f>E11-E17</f>
        <v>521252.33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59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467420.08</v>
      </c>
      <c r="E26" s="206">
        <f>D21</f>
        <v>523121.02999999997</v>
      </c>
    </row>
    <row r="27" spans="2:6">
      <c r="B27" s="9" t="s">
        <v>17</v>
      </c>
      <c r="C27" s="10" t="s">
        <v>111</v>
      </c>
      <c r="D27" s="285">
        <v>21105.749999999996</v>
      </c>
      <c r="E27" s="240">
        <v>-58040.6</v>
      </c>
      <c r="F27" s="70"/>
    </row>
    <row r="28" spans="2:6">
      <c r="B28" s="9" t="s">
        <v>18</v>
      </c>
      <c r="C28" s="10" t="s">
        <v>19</v>
      </c>
      <c r="D28" s="285">
        <v>48092.17</v>
      </c>
      <c r="E28" s="241">
        <v>43337.14</v>
      </c>
      <c r="F28" s="70"/>
    </row>
    <row r="29" spans="2:6">
      <c r="B29" s="101" t="s">
        <v>4</v>
      </c>
      <c r="C29" s="6" t="s">
        <v>20</v>
      </c>
      <c r="D29" s="286">
        <v>46103.360000000001</v>
      </c>
      <c r="E29" s="242">
        <v>43337.14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1988.81</v>
      </c>
      <c r="E31" s="242"/>
      <c r="F31" s="70"/>
    </row>
    <row r="32" spans="2:6">
      <c r="B32" s="89" t="s">
        <v>23</v>
      </c>
      <c r="C32" s="11" t="s">
        <v>24</v>
      </c>
      <c r="D32" s="285">
        <v>26986.420000000002</v>
      </c>
      <c r="E32" s="241">
        <v>101377.74</v>
      </c>
      <c r="F32" s="70"/>
    </row>
    <row r="33" spans="2:6">
      <c r="B33" s="101" t="s">
        <v>4</v>
      </c>
      <c r="C33" s="6" t="s">
        <v>25</v>
      </c>
      <c r="D33" s="286">
        <v>8846.3300000000017</v>
      </c>
      <c r="E33" s="242">
        <v>95591.679999999993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4279.6400000000003</v>
      </c>
      <c r="E35" s="242">
        <v>3853.49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1643.83</v>
      </c>
      <c r="E37" s="242">
        <v>1932.57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12216.62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-32577.69</v>
      </c>
      <c r="E40" s="245">
        <v>56171.9</v>
      </c>
    </row>
    <row r="41" spans="2:6" ht="13.5" thickBot="1">
      <c r="B41" s="96" t="s">
        <v>37</v>
      </c>
      <c r="C41" s="97" t="s">
        <v>38</v>
      </c>
      <c r="D41" s="289">
        <v>455948.14</v>
      </c>
      <c r="E41" s="145">
        <f>E26+E27+E40</f>
        <v>521252.33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59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3865.5316000000003</v>
      </c>
      <c r="E47" s="300">
        <v>4285.7695000000003</v>
      </c>
    </row>
    <row r="48" spans="2:6">
      <c r="B48" s="120" t="s">
        <v>6</v>
      </c>
      <c r="C48" s="22" t="s">
        <v>41</v>
      </c>
      <c r="D48" s="299">
        <v>4044.2447000000002</v>
      </c>
      <c r="E48" s="342">
        <v>3846.5967999999998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120.92</v>
      </c>
      <c r="E50" s="303">
        <v>122.06</v>
      </c>
    </row>
    <row r="51" spans="2:5">
      <c r="B51" s="99" t="s">
        <v>6</v>
      </c>
      <c r="C51" s="15" t="s">
        <v>114</v>
      </c>
      <c r="D51" s="299">
        <v>104.91</v>
      </c>
      <c r="E51" s="304">
        <v>122.06</v>
      </c>
    </row>
    <row r="52" spans="2:5">
      <c r="B52" s="99" t="s">
        <v>8</v>
      </c>
      <c r="C52" s="15" t="s">
        <v>115</v>
      </c>
      <c r="D52" s="299">
        <v>127.19</v>
      </c>
      <c r="E52" s="304">
        <v>135.94999999999999</v>
      </c>
    </row>
    <row r="53" spans="2:5" ht="13.5" thickBot="1">
      <c r="B53" s="100" t="s">
        <v>9</v>
      </c>
      <c r="C53" s="17" t="s">
        <v>41</v>
      </c>
      <c r="D53" s="297">
        <v>112.74</v>
      </c>
      <c r="E53" s="329">
        <v>135.51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521252.33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521252.33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521252.33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521252.33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7"/>
  <dimension ref="A1:G81"/>
  <sheetViews>
    <sheetView topLeftCell="A16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159</v>
      </c>
      <c r="C6" s="354"/>
      <c r="D6" s="354"/>
      <c r="E6" s="354"/>
    </row>
    <row r="7" spans="2:7" ht="14.25">
      <c r="B7" s="147"/>
      <c r="C7" s="147"/>
      <c r="D7" s="147"/>
      <c r="E7" s="147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48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20249.240000000002</v>
      </c>
      <c r="E11" s="211">
        <f>SUM(E12:E14)</f>
        <v>20837.560000000001</v>
      </c>
    </row>
    <row r="12" spans="2:7">
      <c r="B12" s="103" t="s">
        <v>4</v>
      </c>
      <c r="C12" s="6" t="s">
        <v>5</v>
      </c>
      <c r="D12" s="271">
        <v>20249.240000000002</v>
      </c>
      <c r="E12" s="216">
        <v>20837.560000000001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20249.240000000002</v>
      </c>
      <c r="E21" s="145">
        <f>E11-E17</f>
        <v>20837.560000000001</v>
      </c>
      <c r="F21" s="74"/>
    </row>
    <row r="22" spans="2:6">
      <c r="B22" s="3"/>
      <c r="C22" s="7"/>
      <c r="D22" s="204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48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19504.82</v>
      </c>
      <c r="E26" s="206">
        <f>D21</f>
        <v>20249.240000000002</v>
      </c>
    </row>
    <row r="27" spans="2:6">
      <c r="B27" s="9" t="s">
        <v>17</v>
      </c>
      <c r="C27" s="10" t="s">
        <v>111</v>
      </c>
      <c r="D27" s="285">
        <v>-243.3</v>
      </c>
      <c r="E27" s="240">
        <v>-328.12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01" t="s">
        <v>4</v>
      </c>
      <c r="C29" s="6" t="s">
        <v>20</v>
      </c>
      <c r="D29" s="286"/>
      <c r="E29" s="242"/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243.3</v>
      </c>
      <c r="E32" s="241">
        <v>328.12</v>
      </c>
      <c r="F32" s="70"/>
    </row>
    <row r="33" spans="2:6">
      <c r="B33" s="101" t="s">
        <v>4</v>
      </c>
      <c r="C33" s="6" t="s">
        <v>25</v>
      </c>
      <c r="D33" s="286"/>
      <c r="E33" s="242"/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71.09</v>
      </c>
      <c r="E35" s="242">
        <v>93.27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172.21</v>
      </c>
      <c r="E37" s="242">
        <v>234.85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-1114.31</v>
      </c>
      <c r="E40" s="245">
        <v>916.44</v>
      </c>
    </row>
    <row r="41" spans="2:6" ht="13.5" thickBot="1">
      <c r="B41" s="96" t="s">
        <v>37</v>
      </c>
      <c r="C41" s="97" t="s">
        <v>38</v>
      </c>
      <c r="D41" s="289">
        <v>18147.21</v>
      </c>
      <c r="E41" s="145">
        <f>E26+E27+E40</f>
        <v>20837.560000000001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48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168.39179999999999</v>
      </c>
      <c r="E47" s="300">
        <v>164.7217</v>
      </c>
    </row>
    <row r="48" spans="2:6">
      <c r="B48" s="120" t="s">
        <v>6</v>
      </c>
      <c r="C48" s="22" t="s">
        <v>41</v>
      </c>
      <c r="D48" s="299">
        <v>166.04640000000001</v>
      </c>
      <c r="E48" s="342">
        <v>162.13480000000001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115.83</v>
      </c>
      <c r="E50" s="72">
        <v>122.93</v>
      </c>
    </row>
    <row r="51" spans="2:5">
      <c r="B51" s="99" t="s">
        <v>6</v>
      </c>
      <c r="C51" s="15" t="s">
        <v>114</v>
      </c>
      <c r="D51" s="299">
        <v>99.08</v>
      </c>
      <c r="E51" s="72">
        <v>122.72</v>
      </c>
    </row>
    <row r="52" spans="2:5">
      <c r="B52" s="99" t="s">
        <v>8</v>
      </c>
      <c r="C52" s="15" t="s">
        <v>115</v>
      </c>
      <c r="D52" s="299">
        <v>118.08</v>
      </c>
      <c r="E52" s="72">
        <v>128.68</v>
      </c>
    </row>
    <row r="53" spans="2:5" ht="13.5" thickBot="1">
      <c r="B53" s="100" t="s">
        <v>9</v>
      </c>
      <c r="C53" s="17" t="s">
        <v>41</v>
      </c>
      <c r="D53" s="297">
        <v>109.29</v>
      </c>
      <c r="E53" s="329">
        <v>128.52000000000001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20837.560000000001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20837.560000000001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20837.560000000001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20837.560000000001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1">
    <pageSetUpPr fitToPage="1"/>
  </sheetPr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4"/>
      <c r="C4" s="84"/>
      <c r="D4" s="84"/>
      <c r="E4" s="84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160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5"/>
      <c r="C10" s="73" t="s">
        <v>2</v>
      </c>
      <c r="D10" s="69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38507.75</v>
      </c>
      <c r="E11" s="211">
        <f>SUM(E12:E14)</f>
        <v>38464.06</v>
      </c>
    </row>
    <row r="12" spans="2:7">
      <c r="B12" s="167" t="s">
        <v>4</v>
      </c>
      <c r="C12" s="168" t="s">
        <v>5</v>
      </c>
      <c r="D12" s="271">
        <v>38507.75</v>
      </c>
      <c r="E12" s="216">
        <v>38464.06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38507.75</v>
      </c>
      <c r="E21" s="145">
        <f>E11-E17</f>
        <v>38464.06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90036.59</v>
      </c>
      <c r="E26" s="206">
        <f>D21</f>
        <v>38507.75</v>
      </c>
    </row>
    <row r="27" spans="2:6">
      <c r="B27" s="9" t="s">
        <v>17</v>
      </c>
      <c r="C27" s="10" t="s">
        <v>111</v>
      </c>
      <c r="D27" s="285">
        <v>-51898.44</v>
      </c>
      <c r="E27" s="240">
        <v>-380.84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51898.44</v>
      </c>
      <c r="E32" s="241">
        <v>380.84</v>
      </c>
      <c r="F32" s="70"/>
    </row>
    <row r="33" spans="2:6">
      <c r="B33" s="175" t="s">
        <v>4</v>
      </c>
      <c r="C33" s="168" t="s">
        <v>25</v>
      </c>
      <c r="D33" s="286">
        <v>51297.48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19.71</v>
      </c>
      <c r="E35" s="242">
        <v>15.51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581.25</v>
      </c>
      <c r="E37" s="242">
        <v>365.33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-754.71</v>
      </c>
      <c r="E40" s="245">
        <v>337.15</v>
      </c>
    </row>
    <row r="41" spans="2:6" ht="13.5" thickBot="1">
      <c r="B41" s="96" t="s">
        <v>37</v>
      </c>
      <c r="C41" s="97" t="s">
        <v>38</v>
      </c>
      <c r="D41" s="289">
        <v>37383.439999999995</v>
      </c>
      <c r="E41" s="145">
        <f>E26+E27+E40</f>
        <v>38464.060000000005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653.95550000000003</v>
      </c>
      <c r="E47" s="146">
        <v>274.80020000000002</v>
      </c>
    </row>
    <row r="48" spans="2:6">
      <c r="B48" s="180" t="s">
        <v>6</v>
      </c>
      <c r="C48" s="181" t="s">
        <v>41</v>
      </c>
      <c r="D48" s="299">
        <v>277.55169999999998</v>
      </c>
      <c r="E48" s="330">
        <v>272.10000000000002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178" t="s">
        <v>4</v>
      </c>
      <c r="C50" s="179" t="s">
        <v>40</v>
      </c>
      <c r="D50" s="299">
        <v>137.68</v>
      </c>
      <c r="E50" s="331">
        <v>140.13</v>
      </c>
    </row>
    <row r="51" spans="2:5">
      <c r="B51" s="178" t="s">
        <v>6</v>
      </c>
      <c r="C51" s="179" t="s">
        <v>114</v>
      </c>
      <c r="D51" s="299">
        <v>129.96</v>
      </c>
      <c r="E51" s="332">
        <v>140.13</v>
      </c>
    </row>
    <row r="52" spans="2:5">
      <c r="B52" s="178" t="s">
        <v>8</v>
      </c>
      <c r="C52" s="179" t="s">
        <v>115</v>
      </c>
      <c r="D52" s="299">
        <v>138.57</v>
      </c>
      <c r="E52" s="332">
        <v>141.47</v>
      </c>
    </row>
    <row r="53" spans="2:5" ht="13.5" customHeight="1" thickBot="1">
      <c r="B53" s="182" t="s">
        <v>9</v>
      </c>
      <c r="C53" s="183" t="s">
        <v>41</v>
      </c>
      <c r="D53" s="297">
        <v>134.69</v>
      </c>
      <c r="E53" s="333">
        <v>141.36000000000001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38464.06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38464.06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38464.06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38464.06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3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161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69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388374.22</v>
      </c>
      <c r="E11" s="211">
        <f>SUM(E12:E14)</f>
        <v>392993.35</v>
      </c>
    </row>
    <row r="12" spans="2:7">
      <c r="B12" s="167" t="s">
        <v>4</v>
      </c>
      <c r="C12" s="168" t="s">
        <v>5</v>
      </c>
      <c r="D12" s="271">
        <v>388374.22</v>
      </c>
      <c r="E12" s="216">
        <v>392993.35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388374.22</v>
      </c>
      <c r="E21" s="145">
        <f>E11-E17</f>
        <v>392993.35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480395.92</v>
      </c>
      <c r="E26" s="206">
        <f>D21</f>
        <v>388374.22</v>
      </c>
    </row>
    <row r="27" spans="2:6">
      <c r="B27" s="9" t="s">
        <v>17</v>
      </c>
      <c r="C27" s="10" t="s">
        <v>111</v>
      </c>
      <c r="D27" s="285">
        <v>-5434.8</v>
      </c>
      <c r="E27" s="240">
        <v>-28572.39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5434.8</v>
      </c>
      <c r="E32" s="241">
        <v>28572.39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2364.5300000000002</v>
      </c>
      <c r="E35" s="242">
        <v>1658.27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3070.27</v>
      </c>
      <c r="E37" s="242">
        <v>3478.2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23435.919999999998</v>
      </c>
      <c r="F39" s="70"/>
    </row>
    <row r="40" spans="2:6" ht="13.5" thickBot="1">
      <c r="B40" s="94" t="s">
        <v>35</v>
      </c>
      <c r="C40" s="95" t="s">
        <v>36</v>
      </c>
      <c r="D40" s="288">
        <v>-106729.91</v>
      </c>
      <c r="E40" s="245">
        <v>33191.519999999997</v>
      </c>
    </row>
    <row r="41" spans="2:6" ht="13.5" thickBot="1">
      <c r="B41" s="96" t="s">
        <v>37</v>
      </c>
      <c r="C41" s="97" t="s">
        <v>38</v>
      </c>
      <c r="D41" s="289">
        <v>368231.20999999996</v>
      </c>
      <c r="E41" s="145">
        <f>E26+E27+E40</f>
        <v>392993.35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36338.572</v>
      </c>
      <c r="E47" s="146">
        <v>35371.057999999997</v>
      </c>
    </row>
    <row r="48" spans="2:6">
      <c r="B48" s="180" t="s">
        <v>6</v>
      </c>
      <c r="C48" s="181" t="s">
        <v>41</v>
      </c>
      <c r="D48" s="299">
        <v>35820.156999999999</v>
      </c>
      <c r="E48" s="330">
        <v>32831.525000000001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178" t="s">
        <v>4</v>
      </c>
      <c r="C50" s="179" t="s">
        <v>40</v>
      </c>
      <c r="D50" s="299">
        <v>13.22</v>
      </c>
      <c r="E50" s="331">
        <v>10.98</v>
      </c>
    </row>
    <row r="51" spans="2:5">
      <c r="B51" s="178" t="s">
        <v>6</v>
      </c>
      <c r="C51" s="179" t="s">
        <v>114</v>
      </c>
      <c r="D51" s="299">
        <v>8.1300000000000008</v>
      </c>
      <c r="E51" s="332">
        <v>10.76</v>
      </c>
    </row>
    <row r="52" spans="2:5">
      <c r="B52" s="178" t="s">
        <v>8</v>
      </c>
      <c r="C52" s="179" t="s">
        <v>115</v>
      </c>
      <c r="D52" s="299">
        <v>13.56</v>
      </c>
      <c r="E52" s="332">
        <v>12.29</v>
      </c>
    </row>
    <row r="53" spans="2:5" ht="13.5" customHeight="1" thickBot="1">
      <c r="B53" s="182" t="s">
        <v>9</v>
      </c>
      <c r="C53" s="183" t="s">
        <v>41</v>
      </c>
      <c r="D53" s="297">
        <v>10.28</v>
      </c>
      <c r="E53" s="333">
        <v>11.97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392993.35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392993.35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392993.35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392993.35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4"/>
  <dimension ref="A1:G81"/>
  <sheetViews>
    <sheetView topLeftCell="A19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162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69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1283334.55</v>
      </c>
      <c r="E11" s="211">
        <f>SUM(E12:E14)</f>
        <v>1253720.1200000001</v>
      </c>
    </row>
    <row r="12" spans="2:7">
      <c r="B12" s="167" t="s">
        <v>4</v>
      </c>
      <c r="C12" s="168" t="s">
        <v>5</v>
      </c>
      <c r="D12" s="271">
        <v>1283334.55</v>
      </c>
      <c r="E12" s="216">
        <v>1253720.1200000001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1283334.55</v>
      </c>
      <c r="E21" s="145">
        <f>E11-E17</f>
        <v>1253720.1200000001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1521760.02</v>
      </c>
      <c r="E26" s="206">
        <f>D21</f>
        <v>1283334.55</v>
      </c>
    </row>
    <row r="27" spans="2:6">
      <c r="B27" s="9" t="s">
        <v>17</v>
      </c>
      <c r="C27" s="10" t="s">
        <v>111</v>
      </c>
      <c r="D27" s="285">
        <v>-94708.579999999987</v>
      </c>
      <c r="E27" s="240">
        <v>-113129.26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94708.579999999987</v>
      </c>
      <c r="E32" s="241">
        <v>113129.26</v>
      </c>
      <c r="F32" s="70"/>
    </row>
    <row r="33" spans="2:6">
      <c r="B33" s="175" t="s">
        <v>4</v>
      </c>
      <c r="C33" s="168" t="s">
        <v>25</v>
      </c>
      <c r="D33" s="286">
        <v>83448.479999999996</v>
      </c>
      <c r="E33" s="242">
        <v>96841.61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1068.8900000000001</v>
      </c>
      <c r="E35" s="242">
        <v>615.12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10191.209999999999</v>
      </c>
      <c r="E37" s="242">
        <v>10440.530000000001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5232</v>
      </c>
      <c r="F39" s="70"/>
    </row>
    <row r="40" spans="2:6" ht="13.5" thickBot="1">
      <c r="B40" s="94" t="s">
        <v>35</v>
      </c>
      <c r="C40" s="95" t="s">
        <v>36</v>
      </c>
      <c r="D40" s="288">
        <v>-204468.24</v>
      </c>
      <c r="E40" s="245">
        <v>83514.83</v>
      </c>
    </row>
    <row r="41" spans="2:6" ht="13.5" thickBot="1">
      <c r="B41" s="96" t="s">
        <v>37</v>
      </c>
      <c r="C41" s="97" t="s">
        <v>38</v>
      </c>
      <c r="D41" s="289">
        <v>1222583.2</v>
      </c>
      <c r="E41" s="145">
        <f>E26+E27+E40</f>
        <v>1253720.1200000001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94872.819000000003</v>
      </c>
      <c r="E47" s="146">
        <v>82212.335000000006</v>
      </c>
    </row>
    <row r="48" spans="2:6">
      <c r="B48" s="180" t="s">
        <v>6</v>
      </c>
      <c r="C48" s="181" t="s">
        <v>41</v>
      </c>
      <c r="D48" s="299">
        <v>88657.23</v>
      </c>
      <c r="E48" s="330">
        <v>75389.062999999995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178" t="s">
        <v>4</v>
      </c>
      <c r="C50" s="179" t="s">
        <v>40</v>
      </c>
      <c r="D50" s="299">
        <v>16.04</v>
      </c>
      <c r="E50" s="331">
        <v>15.61</v>
      </c>
    </row>
    <row r="51" spans="2:5">
      <c r="B51" s="178" t="s">
        <v>6</v>
      </c>
      <c r="C51" s="179" t="s">
        <v>114</v>
      </c>
      <c r="D51" s="299">
        <v>11.9</v>
      </c>
      <c r="E51" s="331">
        <v>15.38</v>
      </c>
    </row>
    <row r="52" spans="2:5">
      <c r="B52" s="178" t="s">
        <v>8</v>
      </c>
      <c r="C52" s="179" t="s">
        <v>115</v>
      </c>
      <c r="D52" s="299">
        <v>16.100000000000001</v>
      </c>
      <c r="E52" s="332">
        <v>16.690000000000001</v>
      </c>
    </row>
    <row r="53" spans="2:5" ht="12.75" customHeight="1" thickBot="1">
      <c r="B53" s="182" t="s">
        <v>9</v>
      </c>
      <c r="C53" s="183" t="s">
        <v>41</v>
      </c>
      <c r="D53" s="297">
        <v>13.79</v>
      </c>
      <c r="E53" s="333">
        <v>16.63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1253720.1200000001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1253720.1200000001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1253720.1200000001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1253720.1200000001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6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163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69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3108920.1</v>
      </c>
      <c r="E11" s="211">
        <f>SUM(E12:E14)</f>
        <v>3080219.18</v>
      </c>
    </row>
    <row r="12" spans="2:7">
      <c r="B12" s="167" t="s">
        <v>4</v>
      </c>
      <c r="C12" s="222" t="s">
        <v>5</v>
      </c>
      <c r="D12" s="271">
        <v>3108920.1</v>
      </c>
      <c r="E12" s="216">
        <v>3080219.18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3108920.1</v>
      </c>
      <c r="E21" s="145">
        <f>E11-E17</f>
        <v>3080219.18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2630051.5</v>
      </c>
      <c r="E26" s="206">
        <f>D21</f>
        <v>3108920.1</v>
      </c>
    </row>
    <row r="27" spans="2:6">
      <c r="B27" s="9" t="s">
        <v>17</v>
      </c>
      <c r="C27" s="10" t="s">
        <v>111</v>
      </c>
      <c r="D27" s="285">
        <v>-608488.32999999996</v>
      </c>
      <c r="E27" s="240">
        <v>-332305.24</v>
      </c>
      <c r="F27" s="70"/>
    </row>
    <row r="28" spans="2:6">
      <c r="B28" s="9" t="s">
        <v>18</v>
      </c>
      <c r="C28" s="10" t="s">
        <v>19</v>
      </c>
      <c r="D28" s="285">
        <v>9691.83</v>
      </c>
      <c r="E28" s="241">
        <v>15800.32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9691.83</v>
      </c>
      <c r="E31" s="242">
        <v>15800.32</v>
      </c>
      <c r="F31" s="70"/>
    </row>
    <row r="32" spans="2:6">
      <c r="B32" s="89" t="s">
        <v>23</v>
      </c>
      <c r="C32" s="11" t="s">
        <v>24</v>
      </c>
      <c r="D32" s="285">
        <v>618180.15999999992</v>
      </c>
      <c r="E32" s="241">
        <v>348105.56000000006</v>
      </c>
      <c r="F32" s="70"/>
    </row>
    <row r="33" spans="2:7">
      <c r="B33" s="175" t="s">
        <v>4</v>
      </c>
      <c r="C33" s="222" t="s">
        <v>25</v>
      </c>
      <c r="D33" s="280">
        <v>576743.56999999995</v>
      </c>
      <c r="E33" s="242">
        <v>323765.08</v>
      </c>
      <c r="F33" s="70"/>
    </row>
    <row r="34" spans="2:7">
      <c r="B34" s="175" t="s">
        <v>6</v>
      </c>
      <c r="C34" s="168" t="s">
        <v>26</v>
      </c>
      <c r="D34" s="286"/>
      <c r="E34" s="242"/>
      <c r="F34" s="70"/>
    </row>
    <row r="35" spans="2:7">
      <c r="B35" s="175" t="s">
        <v>8</v>
      </c>
      <c r="C35" s="168" t="s">
        <v>27</v>
      </c>
      <c r="D35" s="286">
        <v>2197.0700000000002</v>
      </c>
      <c r="E35" s="242">
        <v>897.7</v>
      </c>
      <c r="F35" s="70"/>
    </row>
    <row r="36" spans="2:7">
      <c r="B36" s="175" t="s">
        <v>9</v>
      </c>
      <c r="C36" s="168" t="s">
        <v>28</v>
      </c>
      <c r="D36" s="286"/>
      <c r="E36" s="242"/>
      <c r="F36" s="70"/>
    </row>
    <row r="37" spans="2:7" ht="25.5">
      <c r="B37" s="175" t="s">
        <v>29</v>
      </c>
      <c r="C37" s="168" t="s">
        <v>30</v>
      </c>
      <c r="D37" s="286">
        <v>19599.150000000001</v>
      </c>
      <c r="E37" s="242">
        <v>23442.78</v>
      </c>
      <c r="F37" s="70"/>
    </row>
    <row r="38" spans="2:7">
      <c r="B38" s="175" t="s">
        <v>31</v>
      </c>
      <c r="C38" s="168" t="s">
        <v>32</v>
      </c>
      <c r="D38" s="286"/>
      <c r="E38" s="242"/>
      <c r="F38" s="70"/>
    </row>
    <row r="39" spans="2:7">
      <c r="B39" s="176" t="s">
        <v>33</v>
      </c>
      <c r="C39" s="177" t="s">
        <v>34</v>
      </c>
      <c r="D39" s="287">
        <v>19640.37</v>
      </c>
      <c r="E39" s="243"/>
      <c r="F39" s="70"/>
    </row>
    <row r="40" spans="2:7" ht="13.5" thickBot="1">
      <c r="B40" s="94" t="s">
        <v>35</v>
      </c>
      <c r="C40" s="95" t="s">
        <v>36</v>
      </c>
      <c r="D40" s="288">
        <v>285060.53000000003</v>
      </c>
      <c r="E40" s="245">
        <v>303604.32</v>
      </c>
    </row>
    <row r="41" spans="2:7" ht="13.5" thickBot="1">
      <c r="B41" s="96" t="s">
        <v>37</v>
      </c>
      <c r="C41" s="97" t="s">
        <v>38</v>
      </c>
      <c r="D41" s="289">
        <v>2306623.7000000002</v>
      </c>
      <c r="E41" s="145">
        <f>E26+E27+E40</f>
        <v>3080219.18</v>
      </c>
      <c r="F41" s="74"/>
    </row>
    <row r="42" spans="2:7">
      <c r="B42" s="90"/>
      <c r="C42" s="90"/>
      <c r="D42" s="91"/>
      <c r="E42" s="91"/>
      <c r="F42" s="74"/>
    </row>
    <row r="43" spans="2:7" ht="13.5">
      <c r="B43" s="357" t="s">
        <v>60</v>
      </c>
      <c r="C43" s="366"/>
      <c r="D43" s="366"/>
      <c r="E43" s="366"/>
    </row>
    <row r="44" spans="2:7" ht="18" customHeight="1" thickBot="1">
      <c r="B44" s="355" t="s">
        <v>121</v>
      </c>
      <c r="C44" s="367"/>
      <c r="D44" s="367"/>
      <c r="E44" s="367"/>
    </row>
    <row r="45" spans="2:7" ht="13.5" thickBot="1">
      <c r="B45" s="197"/>
      <c r="C45" s="29" t="s">
        <v>39</v>
      </c>
      <c r="D45" s="256" t="s">
        <v>262</v>
      </c>
      <c r="E45" s="223" t="s">
        <v>260</v>
      </c>
    </row>
    <row r="46" spans="2:7">
      <c r="B46" s="13" t="s">
        <v>18</v>
      </c>
      <c r="C46" s="30" t="s">
        <v>112</v>
      </c>
      <c r="D46" s="98"/>
      <c r="E46" s="28"/>
    </row>
    <row r="47" spans="2:7">
      <c r="B47" s="178" t="s">
        <v>4</v>
      </c>
      <c r="C47" s="179" t="s">
        <v>40</v>
      </c>
      <c r="D47" s="299">
        <v>77904.369000000006</v>
      </c>
      <c r="E47" s="146">
        <v>65922.817999999999</v>
      </c>
    </row>
    <row r="48" spans="2:7">
      <c r="B48" s="180" t="s">
        <v>6</v>
      </c>
      <c r="C48" s="181" t="s">
        <v>41</v>
      </c>
      <c r="D48" s="299">
        <v>59788.069000000003</v>
      </c>
      <c r="E48" s="339">
        <v>58570.434999999998</v>
      </c>
      <c r="G48" s="153"/>
    </row>
    <row r="49" spans="2:5">
      <c r="B49" s="117" t="s">
        <v>23</v>
      </c>
      <c r="C49" s="121" t="s">
        <v>113</v>
      </c>
      <c r="D49" s="302"/>
      <c r="E49" s="340"/>
    </row>
    <row r="50" spans="2:5">
      <c r="B50" s="178" t="s">
        <v>4</v>
      </c>
      <c r="C50" s="179" t="s">
        <v>40</v>
      </c>
      <c r="D50" s="299">
        <v>33.76</v>
      </c>
      <c r="E50" s="340">
        <v>47.16</v>
      </c>
    </row>
    <row r="51" spans="2:5">
      <c r="B51" s="178" t="s">
        <v>6</v>
      </c>
      <c r="C51" s="179" t="s">
        <v>114</v>
      </c>
      <c r="D51" s="299">
        <v>25.65</v>
      </c>
      <c r="E51" s="341">
        <v>43.79</v>
      </c>
    </row>
    <row r="52" spans="2:5">
      <c r="B52" s="178" t="s">
        <v>8</v>
      </c>
      <c r="C52" s="179" t="s">
        <v>115</v>
      </c>
      <c r="D52" s="299">
        <v>39.119999999999997</v>
      </c>
      <c r="E52" s="341">
        <v>52.72</v>
      </c>
    </row>
    <row r="53" spans="2:5" ht="13.5" customHeight="1" thickBot="1">
      <c r="B53" s="182" t="s">
        <v>9</v>
      </c>
      <c r="C53" s="183" t="s">
        <v>41</v>
      </c>
      <c r="D53" s="297">
        <v>38.58</v>
      </c>
      <c r="E53" s="333">
        <v>52.59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3080219.18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3080219.18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3080219.18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3080219.18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87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133663744.78</v>
      </c>
      <c r="E11" s="211">
        <f>SUM(E12:E14)</f>
        <v>156503353.74000001</v>
      </c>
    </row>
    <row r="12" spans="2:7">
      <c r="B12" s="103" t="s">
        <v>4</v>
      </c>
      <c r="C12" s="188" t="s">
        <v>5</v>
      </c>
      <c r="D12" s="271">
        <f>136342555.03+290521.35-2969331.6</f>
        <v>133663744.78</v>
      </c>
      <c r="E12" s="216">
        <f>159553428.63+179999.71-3230201.25</f>
        <v>156503227.09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/>
      <c r="E14" s="217">
        <v>126.65</v>
      </c>
    </row>
    <row r="15" spans="2:7">
      <c r="B15" s="103" t="s">
        <v>106</v>
      </c>
      <c r="C15" s="188" t="s">
        <v>11</v>
      </c>
      <c r="D15" s="272"/>
      <c r="E15" s="217">
        <v>126.65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216641.77</v>
      </c>
      <c r="E17" s="219">
        <f>E18</f>
        <v>266623.68</v>
      </c>
    </row>
    <row r="18" spans="2:6">
      <c r="B18" s="103" t="s">
        <v>4</v>
      </c>
      <c r="C18" s="188" t="s">
        <v>11</v>
      </c>
      <c r="D18" s="273">
        <v>216641.77</v>
      </c>
      <c r="E18" s="218">
        <v>266623.68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133447103.01000001</v>
      </c>
      <c r="E21" s="145">
        <f>E11-E17</f>
        <v>156236730.06</v>
      </c>
      <c r="F21" s="74"/>
    </row>
    <row r="22" spans="2:6">
      <c r="B22" s="3"/>
      <c r="C22" s="7"/>
      <c r="D22" s="8"/>
      <c r="E22" s="8"/>
    </row>
    <row r="23" spans="2:6" ht="15.75">
      <c r="B23" s="356"/>
      <c r="C23" s="368"/>
      <c r="D23" s="368"/>
      <c r="E23" s="368"/>
    </row>
    <row r="24" spans="2:6" ht="16.5" customHeight="1" thickBot="1">
      <c r="B24" s="355" t="s">
        <v>105</v>
      </c>
      <c r="C24" s="369"/>
      <c r="D24" s="369"/>
      <c r="E24" s="369"/>
    </row>
    <row r="25" spans="2:6" ht="13.5" thickBot="1">
      <c r="B25" s="83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107910365.16000001</v>
      </c>
      <c r="E26" s="206">
        <f>D21</f>
        <v>133447103.01000001</v>
      </c>
    </row>
    <row r="27" spans="2:6">
      <c r="B27" s="9" t="s">
        <v>17</v>
      </c>
      <c r="C27" s="10" t="s">
        <v>111</v>
      </c>
      <c r="D27" s="285">
        <v>-1119987.3600000003</v>
      </c>
      <c r="E27" s="240">
        <v>-1260585.9900000002</v>
      </c>
      <c r="F27" s="70"/>
    </row>
    <row r="28" spans="2:6">
      <c r="B28" s="9" t="s">
        <v>18</v>
      </c>
      <c r="C28" s="10" t="s">
        <v>19</v>
      </c>
      <c r="D28" s="285">
        <v>7211511.2200000007</v>
      </c>
      <c r="E28" s="241">
        <v>6878069.75</v>
      </c>
      <c r="F28" s="70"/>
    </row>
    <row r="29" spans="2:6">
      <c r="B29" s="101" t="s">
        <v>4</v>
      </c>
      <c r="C29" s="6" t="s">
        <v>20</v>
      </c>
      <c r="D29" s="286">
        <v>6912224.4000000004</v>
      </c>
      <c r="E29" s="242">
        <v>6325894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299286.82</v>
      </c>
      <c r="E31" s="242">
        <v>552175.75</v>
      </c>
      <c r="F31" s="70"/>
    </row>
    <row r="32" spans="2:6">
      <c r="B32" s="89" t="s">
        <v>23</v>
      </c>
      <c r="C32" s="11" t="s">
        <v>24</v>
      </c>
      <c r="D32" s="285">
        <v>8331498.580000001</v>
      </c>
      <c r="E32" s="241">
        <v>8138655.7400000002</v>
      </c>
      <c r="F32" s="70"/>
    </row>
    <row r="33" spans="2:6">
      <c r="B33" s="101" t="s">
        <v>4</v>
      </c>
      <c r="C33" s="6" t="s">
        <v>25</v>
      </c>
      <c r="D33" s="286">
        <v>5364098.3100000005</v>
      </c>
      <c r="E33" s="242">
        <v>5985264.79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1402638.24</v>
      </c>
      <c r="E35" s="242">
        <v>1366451.02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1564762.03</v>
      </c>
      <c r="E39" s="243">
        <v>786939.93</v>
      </c>
      <c r="F39" s="70"/>
    </row>
    <row r="40" spans="2:6" ht="13.5" thickBot="1">
      <c r="B40" s="94" t="s">
        <v>35</v>
      </c>
      <c r="C40" s="95" t="s">
        <v>36</v>
      </c>
      <c r="D40" s="288">
        <v>5492682.9500000002</v>
      </c>
      <c r="E40" s="245">
        <v>24050213.039999999</v>
      </c>
    </row>
    <row r="41" spans="2:6" ht="13.5" thickBot="1">
      <c r="B41" s="96" t="s">
        <v>37</v>
      </c>
      <c r="C41" s="97" t="s">
        <v>38</v>
      </c>
      <c r="D41" s="289">
        <v>112283060.75000001</v>
      </c>
      <c r="E41" s="145">
        <f>E26+E27+E40</f>
        <v>156236730.06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5.7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200"/>
      <c r="E46" s="28"/>
    </row>
    <row r="47" spans="2:6">
      <c r="B47" s="99" t="s">
        <v>4</v>
      </c>
      <c r="C47" s="15" t="s">
        <v>40</v>
      </c>
      <c r="D47" s="299">
        <v>9651130.4149999991</v>
      </c>
      <c r="E47" s="300">
        <v>9286406.0077999998</v>
      </c>
    </row>
    <row r="48" spans="2:6">
      <c r="B48" s="120" t="s">
        <v>6</v>
      </c>
      <c r="C48" s="22" t="s">
        <v>41</v>
      </c>
      <c r="D48" s="299">
        <v>9551722.9661999997</v>
      </c>
      <c r="E48" s="307">
        <v>9239877.4849999994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99" t="s">
        <v>4</v>
      </c>
      <c r="C50" s="15" t="s">
        <v>40</v>
      </c>
      <c r="D50" s="299">
        <v>11.181100000000001</v>
      </c>
      <c r="E50" s="146">
        <v>14.370200000000001</v>
      </c>
    </row>
    <row r="51" spans="2:5">
      <c r="B51" s="99" t="s">
        <v>6</v>
      </c>
      <c r="C51" s="15" t="s">
        <v>114</v>
      </c>
      <c r="D51" s="299">
        <v>9.1016999999999992</v>
      </c>
      <c r="E51" s="308">
        <v>14.370200000000001</v>
      </c>
    </row>
    <row r="52" spans="2:5" ht="12.75" customHeight="1">
      <c r="B52" s="99" t="s">
        <v>8</v>
      </c>
      <c r="C52" s="15" t="s">
        <v>115</v>
      </c>
      <c r="D52" s="299">
        <v>12.0619</v>
      </c>
      <c r="E52" s="308">
        <v>17.055099999999999</v>
      </c>
    </row>
    <row r="53" spans="2:5" ht="13.5" thickBot="1">
      <c r="B53" s="100" t="s">
        <v>9</v>
      </c>
      <c r="C53" s="17" t="s">
        <v>41</v>
      </c>
      <c r="D53" s="297">
        <v>11.7553</v>
      </c>
      <c r="E53" s="309">
        <v>16.908999999999999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156503227.09</v>
      </c>
      <c r="E58" s="31">
        <f>D58/E21</f>
        <v>1.0017057258552304</v>
      </c>
    </row>
    <row r="59" spans="2:5" ht="25.5">
      <c r="B59" s="21" t="s">
        <v>4</v>
      </c>
      <c r="C59" s="22" t="s">
        <v>44</v>
      </c>
      <c r="D59" s="77">
        <v>0</v>
      </c>
      <c r="E59" s="78">
        <v>0</v>
      </c>
    </row>
    <row r="60" spans="2:5" ht="24" customHeight="1">
      <c r="B60" s="14" t="s">
        <v>6</v>
      </c>
      <c r="C60" s="15" t="s">
        <v>45</v>
      </c>
      <c r="D60" s="75">
        <v>0</v>
      </c>
      <c r="E60" s="76">
        <v>0</v>
      </c>
    </row>
    <row r="61" spans="2:5">
      <c r="B61" s="14" t="s">
        <v>8</v>
      </c>
      <c r="C61" s="15" t="s">
        <v>46</v>
      </c>
      <c r="D61" s="75">
        <v>0</v>
      </c>
      <c r="E61" s="76">
        <v>0</v>
      </c>
    </row>
    <row r="62" spans="2:5">
      <c r="B62" s="14" t="s">
        <v>9</v>
      </c>
      <c r="C62" s="15" t="s">
        <v>47</v>
      </c>
      <c r="D62" s="75">
        <v>0</v>
      </c>
      <c r="E62" s="76">
        <v>0</v>
      </c>
    </row>
    <row r="63" spans="2:5">
      <c r="B63" s="14" t="s">
        <v>29</v>
      </c>
      <c r="C63" s="15" t="s">
        <v>48</v>
      </c>
      <c r="D63" s="75">
        <v>0</v>
      </c>
      <c r="E63" s="76">
        <v>0</v>
      </c>
    </row>
    <row r="64" spans="2:5">
      <c r="B64" s="21" t="s">
        <v>31</v>
      </c>
      <c r="C64" s="22" t="s">
        <v>49</v>
      </c>
      <c r="D64" s="306">
        <f>159553428.63-3230201.25</f>
        <v>156323227.38</v>
      </c>
      <c r="E64" s="78">
        <f>D64/E21</f>
        <v>1.0005536298664646</v>
      </c>
    </row>
    <row r="65" spans="2:5">
      <c r="B65" s="21" t="s">
        <v>33</v>
      </c>
      <c r="C65" s="22" t="s">
        <v>118</v>
      </c>
      <c r="D65" s="77">
        <v>0</v>
      </c>
      <c r="E65" s="78">
        <v>0</v>
      </c>
    </row>
    <row r="66" spans="2:5">
      <c r="B66" s="21" t="s">
        <v>50</v>
      </c>
      <c r="C66" s="22" t="s">
        <v>51</v>
      </c>
      <c r="D66" s="77">
        <v>0</v>
      </c>
      <c r="E66" s="78">
        <v>0</v>
      </c>
    </row>
    <row r="67" spans="2:5">
      <c r="B67" s="14" t="s">
        <v>52</v>
      </c>
      <c r="C67" s="15" t="s">
        <v>53</v>
      </c>
      <c r="D67" s="75">
        <v>0</v>
      </c>
      <c r="E67" s="76">
        <v>0</v>
      </c>
    </row>
    <row r="68" spans="2:5">
      <c r="B68" s="14" t="s">
        <v>54</v>
      </c>
      <c r="C68" s="15" t="s">
        <v>55</v>
      </c>
      <c r="D68" s="75">
        <v>0</v>
      </c>
      <c r="E68" s="76">
        <v>0</v>
      </c>
    </row>
    <row r="69" spans="2:5">
      <c r="B69" s="14" t="s">
        <v>56</v>
      </c>
      <c r="C69" s="15" t="s">
        <v>57</v>
      </c>
      <c r="D69" s="298">
        <v>179999.71</v>
      </c>
      <c r="E69" s="76">
        <f>D69/E21</f>
        <v>1.1520959887657289E-3</v>
      </c>
    </row>
    <row r="70" spans="2:5">
      <c r="B70" s="109" t="s">
        <v>58</v>
      </c>
      <c r="C70" s="110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126.65</v>
      </c>
      <c r="E72" s="116">
        <f>D72/E21</f>
        <v>8.1062884477524758E-7</v>
      </c>
    </row>
    <row r="73" spans="2:5">
      <c r="B73" s="23" t="s">
        <v>62</v>
      </c>
      <c r="C73" s="24" t="s">
        <v>65</v>
      </c>
      <c r="D73" s="25">
        <f>E17</f>
        <v>266623.68</v>
      </c>
      <c r="E73" s="26">
        <f>D73/E21</f>
        <v>1.7065364840752094E-3</v>
      </c>
    </row>
    <row r="74" spans="2:5">
      <c r="B74" s="117" t="s">
        <v>64</v>
      </c>
      <c r="C74" s="118" t="s">
        <v>66</v>
      </c>
      <c r="D74" s="119">
        <f>D58+D71+D72-D73</f>
        <v>156236730.06</v>
      </c>
      <c r="E74" s="65">
        <f>E58+E72-E73</f>
        <v>0.99999999999999989</v>
      </c>
    </row>
    <row r="75" spans="2:5">
      <c r="B75" s="14" t="s">
        <v>4</v>
      </c>
      <c r="C75" s="15" t="s">
        <v>67</v>
      </c>
      <c r="D75" s="75">
        <f>D74</f>
        <v>156236730.06</v>
      </c>
      <c r="E75" s="76">
        <f>E74</f>
        <v>0.99999999999999989</v>
      </c>
    </row>
    <row r="76" spans="2:5">
      <c r="B76" s="14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59" bottom="0.4" header="0.5" footer="0.5"/>
  <pageSetup paperSize="9" scale="70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7"/>
  <dimension ref="A1:G81"/>
  <sheetViews>
    <sheetView topLeftCell="A16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164</v>
      </c>
      <c r="C6" s="354"/>
      <c r="D6" s="354"/>
      <c r="E6" s="354"/>
    </row>
    <row r="7" spans="2:7" ht="14.25">
      <c r="B7" s="158"/>
      <c r="C7" s="158"/>
      <c r="D7" s="158"/>
      <c r="E7" s="158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59"/>
      <c r="C10" s="73" t="s">
        <v>2</v>
      </c>
      <c r="D10" s="69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262596.26</v>
      </c>
      <c r="E11" s="211">
        <f>SUM(E12:E14)</f>
        <v>254289.45</v>
      </c>
    </row>
    <row r="12" spans="2:7">
      <c r="B12" s="167" t="s">
        <v>4</v>
      </c>
      <c r="C12" s="168" t="s">
        <v>5</v>
      </c>
      <c r="D12" s="271">
        <v>262596.26</v>
      </c>
      <c r="E12" s="216">
        <v>254289.45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262596.26</v>
      </c>
      <c r="E21" s="145">
        <f>E11-E17</f>
        <v>254289.45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374575.96</v>
      </c>
      <c r="E26" s="206">
        <f>D21</f>
        <v>262596.26</v>
      </c>
    </row>
    <row r="27" spans="2:6">
      <c r="B27" s="9" t="s">
        <v>17</v>
      </c>
      <c r="C27" s="10" t="s">
        <v>111</v>
      </c>
      <c r="D27" s="285">
        <v>-120548.31999999999</v>
      </c>
      <c r="E27" s="240">
        <v>-2832.62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120548.31999999999</v>
      </c>
      <c r="E32" s="241">
        <v>2832.62</v>
      </c>
      <c r="F32" s="70"/>
    </row>
    <row r="33" spans="2:6">
      <c r="B33" s="175" t="s">
        <v>4</v>
      </c>
      <c r="C33" s="168" t="s">
        <v>25</v>
      </c>
      <c r="D33" s="286">
        <v>116524.93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1865.29</v>
      </c>
      <c r="E35" s="242">
        <v>896.66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2158.1</v>
      </c>
      <c r="E37" s="242">
        <v>1934.42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1.54</v>
      </c>
      <c r="F39" s="70"/>
    </row>
    <row r="40" spans="2:6" ht="13.5" thickBot="1">
      <c r="B40" s="94" t="s">
        <v>35</v>
      </c>
      <c r="C40" s="95" t="s">
        <v>36</v>
      </c>
      <c r="D40" s="288">
        <v>-11894.98</v>
      </c>
      <c r="E40" s="245">
        <v>-5474.19</v>
      </c>
    </row>
    <row r="41" spans="2:6" ht="13.5" thickBot="1">
      <c r="B41" s="96" t="s">
        <v>37</v>
      </c>
      <c r="C41" s="97" t="s">
        <v>38</v>
      </c>
      <c r="D41" s="289">
        <v>242132.66</v>
      </c>
      <c r="E41" s="145">
        <f>E26+E27+E40</f>
        <v>254289.45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32487.074000000001</v>
      </c>
      <c r="E47" s="146">
        <v>21792.221000000001</v>
      </c>
    </row>
    <row r="48" spans="2:6">
      <c r="B48" s="180" t="s">
        <v>6</v>
      </c>
      <c r="C48" s="181" t="s">
        <v>41</v>
      </c>
      <c r="D48" s="299">
        <v>22132.784</v>
      </c>
      <c r="E48" s="330">
        <v>21549.953000000001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178" t="s">
        <v>4</v>
      </c>
      <c r="C50" s="179" t="s">
        <v>40</v>
      </c>
      <c r="D50" s="299">
        <v>11.53</v>
      </c>
      <c r="E50" s="331">
        <v>12.05</v>
      </c>
    </row>
    <row r="51" spans="2:5">
      <c r="B51" s="178" t="s">
        <v>6</v>
      </c>
      <c r="C51" s="179" t="s">
        <v>114</v>
      </c>
      <c r="D51" s="299">
        <v>9.14</v>
      </c>
      <c r="E51" s="332">
        <v>11.27</v>
      </c>
    </row>
    <row r="52" spans="2:5">
      <c r="B52" s="178" t="s">
        <v>8</v>
      </c>
      <c r="C52" s="179" t="s">
        <v>115</v>
      </c>
      <c r="D52" s="299">
        <v>11.88</v>
      </c>
      <c r="E52" s="294">
        <v>12.08</v>
      </c>
    </row>
    <row r="53" spans="2:5" ht="13.5" thickBot="1">
      <c r="B53" s="182" t="s">
        <v>9</v>
      </c>
      <c r="C53" s="183" t="s">
        <v>41</v>
      </c>
      <c r="D53" s="297">
        <v>10.94</v>
      </c>
      <c r="E53" s="338">
        <v>11.8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254289.45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254289.45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254289.45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254289.45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8"/>
  <dimension ref="A1:G81"/>
  <sheetViews>
    <sheetView topLeftCell="A16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44"/>
      <c r="C4" s="144"/>
      <c r="D4" s="144"/>
      <c r="E4" s="144"/>
    </row>
    <row r="5" spans="2:7" ht="14.25">
      <c r="B5" s="353" t="s">
        <v>1</v>
      </c>
      <c r="C5" s="353"/>
      <c r="D5" s="353"/>
      <c r="E5" s="353"/>
    </row>
    <row r="6" spans="2:7" ht="14.25">
      <c r="B6" s="354" t="s">
        <v>165</v>
      </c>
      <c r="C6" s="354"/>
      <c r="D6" s="354"/>
      <c r="E6" s="354"/>
    </row>
    <row r="7" spans="2:7" ht="14.25">
      <c r="B7" s="191"/>
      <c r="C7" s="191"/>
      <c r="D7" s="191"/>
      <c r="E7" s="191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92"/>
      <c r="C10" s="73" t="s">
        <v>2</v>
      </c>
      <c r="D10" s="69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246150.22</v>
      </c>
      <c r="E11" s="211">
        <f>SUM(E12:E14)</f>
        <v>235499.38</v>
      </c>
    </row>
    <row r="12" spans="2:7">
      <c r="B12" s="167" t="s">
        <v>4</v>
      </c>
      <c r="C12" s="168" t="s">
        <v>5</v>
      </c>
      <c r="D12" s="271">
        <v>246150.22</v>
      </c>
      <c r="E12" s="216">
        <v>235499.38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246150.22</v>
      </c>
      <c r="E21" s="145">
        <f>E11-E17</f>
        <v>235499.38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240605.07</v>
      </c>
      <c r="E26" s="206">
        <f>D21</f>
        <v>246150.22</v>
      </c>
    </row>
    <row r="27" spans="2:6">
      <c r="B27" s="9" t="s">
        <v>17</v>
      </c>
      <c r="C27" s="10" t="s">
        <v>111</v>
      </c>
      <c r="D27" s="285">
        <v>-1889.34</v>
      </c>
      <c r="E27" s="240">
        <v>-1909.29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1889.34</v>
      </c>
      <c r="E32" s="241">
        <v>1909.29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1889.34</v>
      </c>
      <c r="E37" s="242">
        <v>1909.29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1520.47</v>
      </c>
      <c r="E40" s="245">
        <v>-8741.5499999999993</v>
      </c>
    </row>
    <row r="41" spans="2:6" ht="13.5" thickBot="1">
      <c r="B41" s="96" t="s">
        <v>37</v>
      </c>
      <c r="C41" s="97" t="s">
        <v>38</v>
      </c>
      <c r="D41" s="289">
        <v>240236.2</v>
      </c>
      <c r="E41" s="145">
        <f>E26+E27+E40</f>
        <v>235499.38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2358.6419999999998</v>
      </c>
      <c r="E47" s="146">
        <v>2321.0770000000002</v>
      </c>
    </row>
    <row r="48" spans="2:6">
      <c r="B48" s="180" t="s">
        <v>6</v>
      </c>
      <c r="C48" s="181" t="s">
        <v>41</v>
      </c>
      <c r="D48" s="299">
        <v>2339.8870000000002</v>
      </c>
      <c r="E48" s="328">
        <v>2302.7220000000002</v>
      </c>
    </row>
    <row r="49" spans="2:5">
      <c r="B49" s="117" t="s">
        <v>23</v>
      </c>
      <c r="C49" s="121" t="s">
        <v>113</v>
      </c>
      <c r="D49" s="302"/>
      <c r="E49" s="337"/>
    </row>
    <row r="50" spans="2:5">
      <c r="B50" s="178" t="s">
        <v>4</v>
      </c>
      <c r="C50" s="179" t="s">
        <v>40</v>
      </c>
      <c r="D50" s="299">
        <v>102.01</v>
      </c>
      <c r="E50" s="146">
        <v>106.05</v>
      </c>
    </row>
    <row r="51" spans="2:5">
      <c r="B51" s="178" t="s">
        <v>6</v>
      </c>
      <c r="C51" s="179" t="s">
        <v>114</v>
      </c>
      <c r="D51" s="299">
        <v>96.3</v>
      </c>
      <c r="E51" s="72">
        <v>102.07</v>
      </c>
    </row>
    <row r="52" spans="2:5">
      <c r="B52" s="178" t="s">
        <v>8</v>
      </c>
      <c r="C52" s="179" t="s">
        <v>115</v>
      </c>
      <c r="D52" s="299">
        <v>103.13</v>
      </c>
      <c r="E52" s="72">
        <v>106.52</v>
      </c>
    </row>
    <row r="53" spans="2:5" ht="13.5" thickBot="1">
      <c r="B53" s="182" t="s">
        <v>9</v>
      </c>
      <c r="C53" s="183" t="s">
        <v>41</v>
      </c>
      <c r="D53" s="297">
        <v>102.67</v>
      </c>
      <c r="E53" s="333">
        <v>102.27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235499.38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235499.38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235499.38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235499.38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9"/>
  <dimension ref="A1:G81"/>
  <sheetViews>
    <sheetView topLeftCell="A19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166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150470.92000000001</v>
      </c>
      <c r="E11" s="211">
        <f>SUM(E12:E14)</f>
        <v>154119.66</v>
      </c>
    </row>
    <row r="12" spans="2:7">
      <c r="B12" s="167" t="s">
        <v>4</v>
      </c>
      <c r="C12" s="168" t="s">
        <v>5</v>
      </c>
      <c r="D12" s="271">
        <v>150470.92000000001</v>
      </c>
      <c r="E12" s="216">
        <v>154119.66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150470.92000000001</v>
      </c>
      <c r="E21" s="145">
        <f>E11-E17</f>
        <v>154119.66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318">
        <v>176046.98</v>
      </c>
      <c r="E26" s="206">
        <f>D21</f>
        <v>150470.92000000001</v>
      </c>
    </row>
    <row r="27" spans="2:6">
      <c r="B27" s="9" t="s">
        <v>17</v>
      </c>
      <c r="C27" s="10" t="s">
        <v>111</v>
      </c>
      <c r="D27" s="319">
        <v>-13195.560000000001</v>
      </c>
      <c r="E27" s="240">
        <v>-6550.18</v>
      </c>
      <c r="F27" s="70"/>
    </row>
    <row r="28" spans="2:6">
      <c r="B28" s="9" t="s">
        <v>18</v>
      </c>
      <c r="C28" s="10" t="s">
        <v>19</v>
      </c>
      <c r="D28" s="319">
        <v>17998.09</v>
      </c>
      <c r="E28" s="241">
        <v>0</v>
      </c>
      <c r="F28" s="70"/>
    </row>
    <row r="29" spans="2:6">
      <c r="B29" s="175" t="s">
        <v>4</v>
      </c>
      <c r="C29" s="168" t="s">
        <v>20</v>
      </c>
      <c r="D29" s="271"/>
      <c r="E29" s="242"/>
      <c r="F29" s="70"/>
    </row>
    <row r="30" spans="2:6">
      <c r="B30" s="175" t="s">
        <v>6</v>
      </c>
      <c r="C30" s="168" t="s">
        <v>21</v>
      </c>
      <c r="D30" s="271"/>
      <c r="E30" s="242"/>
      <c r="F30" s="70"/>
    </row>
    <row r="31" spans="2:6">
      <c r="B31" s="175" t="s">
        <v>8</v>
      </c>
      <c r="C31" s="168" t="s">
        <v>22</v>
      </c>
      <c r="D31" s="271">
        <v>17998.09</v>
      </c>
      <c r="E31" s="242"/>
      <c r="F31" s="70"/>
    </row>
    <row r="32" spans="2:6">
      <c r="B32" s="89" t="s">
        <v>23</v>
      </c>
      <c r="C32" s="11" t="s">
        <v>24</v>
      </c>
      <c r="D32" s="319">
        <v>31193.65</v>
      </c>
      <c r="E32" s="241">
        <v>6550.18</v>
      </c>
      <c r="F32" s="70"/>
    </row>
    <row r="33" spans="2:6">
      <c r="B33" s="175" t="s">
        <v>4</v>
      </c>
      <c r="C33" s="168" t="s">
        <v>25</v>
      </c>
      <c r="D33" s="271">
        <v>20009.310000000001</v>
      </c>
      <c r="E33" s="242">
        <v>5032.37</v>
      </c>
      <c r="F33" s="70"/>
    </row>
    <row r="34" spans="2:6">
      <c r="B34" s="175" t="s">
        <v>6</v>
      </c>
      <c r="C34" s="168" t="s">
        <v>26</v>
      </c>
      <c r="D34" s="271"/>
      <c r="E34" s="242"/>
      <c r="F34" s="70"/>
    </row>
    <row r="35" spans="2:6">
      <c r="B35" s="175" t="s">
        <v>8</v>
      </c>
      <c r="C35" s="168" t="s">
        <v>27</v>
      </c>
      <c r="D35" s="271">
        <v>62.9</v>
      </c>
      <c r="E35" s="242">
        <v>31.3</v>
      </c>
      <c r="F35" s="70"/>
    </row>
    <row r="36" spans="2:6">
      <c r="B36" s="175" t="s">
        <v>9</v>
      </c>
      <c r="C36" s="168" t="s">
        <v>28</v>
      </c>
      <c r="D36" s="271"/>
      <c r="E36" s="242"/>
      <c r="F36" s="70"/>
    </row>
    <row r="37" spans="2:6" ht="25.5">
      <c r="B37" s="175" t="s">
        <v>29</v>
      </c>
      <c r="C37" s="168" t="s">
        <v>30</v>
      </c>
      <c r="D37" s="271">
        <v>1608.07</v>
      </c>
      <c r="E37" s="242">
        <v>1486.51</v>
      </c>
      <c r="F37" s="70"/>
    </row>
    <row r="38" spans="2:6">
      <c r="B38" s="175" t="s">
        <v>31</v>
      </c>
      <c r="C38" s="168" t="s">
        <v>32</v>
      </c>
      <c r="D38" s="271"/>
      <c r="E38" s="242"/>
      <c r="F38" s="70"/>
    </row>
    <row r="39" spans="2:6">
      <c r="B39" s="176" t="s">
        <v>33</v>
      </c>
      <c r="C39" s="177" t="s">
        <v>34</v>
      </c>
      <c r="D39" s="320">
        <v>9513.3700000000008</v>
      </c>
      <c r="E39" s="243"/>
      <c r="F39" s="70"/>
    </row>
    <row r="40" spans="2:6" ht="13.5" thickBot="1">
      <c r="B40" s="94" t="s">
        <v>35</v>
      </c>
      <c r="C40" s="95" t="s">
        <v>36</v>
      </c>
      <c r="D40" s="321">
        <v>13306.73</v>
      </c>
      <c r="E40" s="245">
        <v>10198.92</v>
      </c>
    </row>
    <row r="41" spans="2:6" ht="13.5" thickBot="1">
      <c r="B41" s="96" t="s">
        <v>37</v>
      </c>
      <c r="C41" s="97" t="s">
        <v>38</v>
      </c>
      <c r="D41" s="276">
        <v>176158.15000000002</v>
      </c>
      <c r="E41" s="145">
        <f>E26+E27+E40</f>
        <v>154119.66000000003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0">
        <v>565.77639999999997</v>
      </c>
      <c r="E47" s="146">
        <v>377.12009999999998</v>
      </c>
    </row>
    <row r="48" spans="2:6">
      <c r="B48" s="180" t="s">
        <v>6</v>
      </c>
      <c r="C48" s="181" t="s">
        <v>41</v>
      </c>
      <c r="D48" s="290">
        <v>520.26980000000003</v>
      </c>
      <c r="E48" s="330">
        <v>360.69099999999997</v>
      </c>
    </row>
    <row r="49" spans="2:5">
      <c r="B49" s="117" t="s">
        <v>23</v>
      </c>
      <c r="C49" s="121" t="s">
        <v>113</v>
      </c>
      <c r="D49" s="292"/>
      <c r="E49" s="331"/>
    </row>
    <row r="50" spans="2:5">
      <c r="B50" s="178" t="s">
        <v>4</v>
      </c>
      <c r="C50" s="179" t="s">
        <v>40</v>
      </c>
      <c r="D50" s="290">
        <v>311.16000000000003</v>
      </c>
      <c r="E50" s="331">
        <v>399</v>
      </c>
    </row>
    <row r="51" spans="2:5">
      <c r="B51" s="178" t="s">
        <v>6</v>
      </c>
      <c r="C51" s="179" t="s">
        <v>114</v>
      </c>
      <c r="D51" s="290">
        <v>222.45</v>
      </c>
      <c r="E51" s="331">
        <v>381.95</v>
      </c>
    </row>
    <row r="52" spans="2:5">
      <c r="B52" s="178" t="s">
        <v>8</v>
      </c>
      <c r="C52" s="179" t="s">
        <v>115</v>
      </c>
      <c r="D52" s="290">
        <v>349.39</v>
      </c>
      <c r="E52" s="332">
        <v>432.52</v>
      </c>
    </row>
    <row r="53" spans="2:5" ht="14.25" customHeight="1" thickBot="1">
      <c r="B53" s="182" t="s">
        <v>9</v>
      </c>
      <c r="C53" s="183" t="s">
        <v>41</v>
      </c>
      <c r="D53" s="297">
        <v>338.59</v>
      </c>
      <c r="E53" s="329">
        <v>427.29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154119.66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154119.66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154119.66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154119.66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0">
    <pageSetUpPr fitToPage="1"/>
  </sheetPr>
  <dimension ref="A1:G81"/>
  <sheetViews>
    <sheetView topLeftCell="A19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167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129053.06</v>
      </c>
      <c r="E11" s="211">
        <f>SUM(E12:E14)</f>
        <v>120381.64</v>
      </c>
    </row>
    <row r="12" spans="2:7">
      <c r="B12" s="167" t="s">
        <v>4</v>
      </c>
      <c r="C12" s="168" t="s">
        <v>5</v>
      </c>
      <c r="D12" s="271">
        <v>129053.06</v>
      </c>
      <c r="E12" s="216">
        <v>120381.64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129053.06</v>
      </c>
      <c r="E21" s="145">
        <f>E11-E17</f>
        <v>120381.64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54284.9</v>
      </c>
      <c r="E26" s="206">
        <f>D21</f>
        <v>129053.06</v>
      </c>
    </row>
    <row r="27" spans="2:6">
      <c r="B27" s="9" t="s">
        <v>17</v>
      </c>
      <c r="C27" s="10" t="s">
        <v>111</v>
      </c>
      <c r="D27" s="285">
        <v>15056.61</v>
      </c>
      <c r="E27" s="240">
        <v>-21166.93</v>
      </c>
      <c r="F27" s="70"/>
    </row>
    <row r="28" spans="2:6">
      <c r="B28" s="9" t="s">
        <v>18</v>
      </c>
      <c r="C28" s="10" t="s">
        <v>19</v>
      </c>
      <c r="D28" s="285">
        <v>100235.44</v>
      </c>
      <c r="E28" s="241">
        <v>26482.2</v>
      </c>
      <c r="F28" s="70"/>
    </row>
    <row r="29" spans="2:6">
      <c r="B29" s="175" t="s">
        <v>4</v>
      </c>
      <c r="C29" s="168" t="s">
        <v>20</v>
      </c>
      <c r="D29" s="286">
        <v>10535.1</v>
      </c>
      <c r="E29" s="242">
        <v>20825.95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89700.34</v>
      </c>
      <c r="E31" s="242">
        <v>5656.25</v>
      </c>
      <c r="F31" s="70"/>
    </row>
    <row r="32" spans="2:6">
      <c r="B32" s="89" t="s">
        <v>23</v>
      </c>
      <c r="C32" s="11" t="s">
        <v>24</v>
      </c>
      <c r="D32" s="285">
        <v>85178.83</v>
      </c>
      <c r="E32" s="241">
        <v>47649.13</v>
      </c>
      <c r="F32" s="70"/>
    </row>
    <row r="33" spans="2:6">
      <c r="B33" s="175" t="s">
        <v>4</v>
      </c>
      <c r="C33" s="168" t="s">
        <v>25</v>
      </c>
      <c r="D33" s="286">
        <v>25928.57</v>
      </c>
      <c r="E33" s="242">
        <v>3534.42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447.25</v>
      </c>
      <c r="E35" s="242">
        <v>586.58000000000004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339.34</v>
      </c>
      <c r="E37" s="242">
        <v>685.01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58463.67</v>
      </c>
      <c r="E39" s="243">
        <v>42843.12</v>
      </c>
      <c r="F39" s="70"/>
    </row>
    <row r="40" spans="2:6" ht="13.5" thickBot="1">
      <c r="B40" s="94" t="s">
        <v>35</v>
      </c>
      <c r="C40" s="95" t="s">
        <v>36</v>
      </c>
      <c r="D40" s="288">
        <v>418.45</v>
      </c>
      <c r="E40" s="245">
        <v>12495.51</v>
      </c>
    </row>
    <row r="41" spans="2:6" ht="13.5" thickBot="1">
      <c r="B41" s="96" t="s">
        <v>37</v>
      </c>
      <c r="C41" s="97" t="s">
        <v>38</v>
      </c>
      <c r="D41" s="289">
        <v>69759.960000000006</v>
      </c>
      <c r="E41" s="145">
        <f>E26+E27+E40</f>
        <v>120381.64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110.1404</v>
      </c>
      <c r="E47" s="146">
        <v>205.99379999999999</v>
      </c>
    </row>
    <row r="48" spans="2:6">
      <c r="B48" s="180" t="s">
        <v>6</v>
      </c>
      <c r="C48" s="181" t="s">
        <v>41</v>
      </c>
      <c r="D48" s="299">
        <v>132.5479</v>
      </c>
      <c r="E48" s="330">
        <v>173.08150000000001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178" t="s">
        <v>4</v>
      </c>
      <c r="C50" s="179" t="s">
        <v>40</v>
      </c>
      <c r="D50" s="299">
        <v>492.87</v>
      </c>
      <c r="E50" s="331">
        <v>626.49</v>
      </c>
    </row>
    <row r="51" spans="2:5">
      <c r="B51" s="178" t="s">
        <v>6</v>
      </c>
      <c r="C51" s="179" t="s">
        <v>114</v>
      </c>
      <c r="D51" s="299">
        <v>375.52</v>
      </c>
      <c r="E51" s="331">
        <v>615.48</v>
      </c>
    </row>
    <row r="52" spans="2:5">
      <c r="B52" s="178" t="s">
        <v>8</v>
      </c>
      <c r="C52" s="179" t="s">
        <v>115</v>
      </c>
      <c r="D52" s="299">
        <v>539.87</v>
      </c>
      <c r="E52" s="332">
        <v>705.79</v>
      </c>
    </row>
    <row r="53" spans="2:5" ht="13.5" customHeight="1" thickBot="1">
      <c r="B53" s="182" t="s">
        <v>9</v>
      </c>
      <c r="C53" s="183" t="s">
        <v>41</v>
      </c>
      <c r="D53" s="297">
        <v>526.29999999999995</v>
      </c>
      <c r="E53" s="333">
        <v>695.52</v>
      </c>
    </row>
    <row r="54" spans="2:5">
      <c r="B54" s="106"/>
      <c r="C54" s="107"/>
      <c r="D54" s="108"/>
      <c r="E54" s="193"/>
    </row>
    <row r="55" spans="2:5" ht="13.5">
      <c r="B55" s="357" t="s">
        <v>62</v>
      </c>
      <c r="C55" s="358"/>
      <c r="D55" s="358"/>
      <c r="E55" s="358"/>
    </row>
    <row r="56" spans="2:5" ht="20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120381.64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120381.64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120381.64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120381.64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1"/>
  <dimension ref="A1:G81"/>
  <sheetViews>
    <sheetView topLeftCell="A19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168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241687.16</v>
      </c>
      <c r="E11" s="211">
        <f>SUM(E12:E14)</f>
        <v>226820.1</v>
      </c>
    </row>
    <row r="12" spans="2:7">
      <c r="B12" s="103" t="s">
        <v>4</v>
      </c>
      <c r="C12" s="6" t="s">
        <v>5</v>
      </c>
      <c r="D12" s="271">
        <v>241687.16</v>
      </c>
      <c r="E12" s="216">
        <v>226820.1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241687.16</v>
      </c>
      <c r="E21" s="145">
        <f>E11-E17</f>
        <v>226820.1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32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322565.65000000002</v>
      </c>
      <c r="E26" s="206">
        <f>D21</f>
        <v>241687.16</v>
      </c>
    </row>
    <row r="27" spans="2:6">
      <c r="B27" s="9" t="s">
        <v>17</v>
      </c>
      <c r="C27" s="10" t="s">
        <v>111</v>
      </c>
      <c r="D27" s="285">
        <v>-69375.709999999992</v>
      </c>
      <c r="E27" s="240">
        <v>-54233.22</v>
      </c>
      <c r="F27" s="70"/>
    </row>
    <row r="28" spans="2:6">
      <c r="B28" s="9" t="s">
        <v>18</v>
      </c>
      <c r="C28" s="10" t="s">
        <v>19</v>
      </c>
      <c r="D28" s="285">
        <v>94465.87</v>
      </c>
      <c r="E28" s="241">
        <v>28245.96</v>
      </c>
      <c r="F28" s="70"/>
    </row>
    <row r="29" spans="2:6">
      <c r="B29" s="101" t="s">
        <v>4</v>
      </c>
      <c r="C29" s="6" t="s">
        <v>20</v>
      </c>
      <c r="D29" s="286">
        <v>8952.07</v>
      </c>
      <c r="E29" s="242">
        <v>11728.62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85513.8</v>
      </c>
      <c r="E31" s="242">
        <v>16517.34</v>
      </c>
      <c r="F31" s="70"/>
    </row>
    <row r="32" spans="2:6">
      <c r="B32" s="89" t="s">
        <v>23</v>
      </c>
      <c r="C32" s="11" t="s">
        <v>24</v>
      </c>
      <c r="D32" s="285">
        <v>163841.57999999999</v>
      </c>
      <c r="E32" s="241">
        <v>82479.179999999993</v>
      </c>
      <c r="F32" s="70"/>
    </row>
    <row r="33" spans="2:6">
      <c r="B33" s="101" t="s">
        <v>4</v>
      </c>
      <c r="C33" s="6" t="s">
        <v>25</v>
      </c>
      <c r="D33" s="286">
        <v>10478.64</v>
      </c>
      <c r="E33" s="242">
        <v>17563.210000000003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643.78</v>
      </c>
      <c r="E35" s="242">
        <v>463.24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1591.58</v>
      </c>
      <c r="E37" s="242">
        <v>1529.09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151127.57999999999</v>
      </c>
      <c r="E39" s="243">
        <v>62923.64</v>
      </c>
      <c r="F39" s="70"/>
    </row>
    <row r="40" spans="2:6" ht="13.5" thickBot="1">
      <c r="B40" s="94" t="s">
        <v>35</v>
      </c>
      <c r="C40" s="95" t="s">
        <v>36</v>
      </c>
      <c r="D40" s="288">
        <v>7251.83</v>
      </c>
      <c r="E40" s="245">
        <v>39366.160000000003</v>
      </c>
    </row>
    <row r="41" spans="2:6" ht="13.5" thickBot="1">
      <c r="B41" s="96" t="s">
        <v>37</v>
      </c>
      <c r="C41" s="97" t="s">
        <v>38</v>
      </c>
      <c r="D41" s="289">
        <v>260441.77000000002</v>
      </c>
      <c r="E41" s="145">
        <f>E26+E27+E40</f>
        <v>226820.1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32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1111.9885999999999</v>
      </c>
      <c r="E47" s="146">
        <v>752.82569999999998</v>
      </c>
    </row>
    <row r="48" spans="2:6">
      <c r="B48" s="120" t="s">
        <v>6</v>
      </c>
      <c r="C48" s="22" t="s">
        <v>41</v>
      </c>
      <c r="D48" s="299">
        <v>857.19569999999999</v>
      </c>
      <c r="E48" s="330">
        <v>587.23649999999998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99" t="s">
        <v>4</v>
      </c>
      <c r="C50" s="15" t="s">
        <v>40</v>
      </c>
      <c r="D50" s="299">
        <v>290.08</v>
      </c>
      <c r="E50" s="331">
        <v>321.04000000000002</v>
      </c>
    </row>
    <row r="51" spans="2:5">
      <c r="B51" s="99" t="s">
        <v>6</v>
      </c>
      <c r="C51" s="15" t="s">
        <v>114</v>
      </c>
      <c r="D51" s="299">
        <v>221.58</v>
      </c>
      <c r="E51" s="332">
        <v>321.04000000000002</v>
      </c>
    </row>
    <row r="52" spans="2:5">
      <c r="B52" s="99" t="s">
        <v>8</v>
      </c>
      <c r="C52" s="15" t="s">
        <v>115</v>
      </c>
      <c r="D52" s="299">
        <v>313.69</v>
      </c>
      <c r="E52" s="332">
        <v>393.75</v>
      </c>
    </row>
    <row r="53" spans="2:5" ht="12.75" customHeight="1" thickBot="1">
      <c r="B53" s="100" t="s">
        <v>9</v>
      </c>
      <c r="C53" s="17" t="s">
        <v>41</v>
      </c>
      <c r="D53" s="297">
        <v>303.83</v>
      </c>
      <c r="E53" s="333">
        <v>386.25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226820.1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226820.1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226820.1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226820.1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2" bottom="0.43" header="0.5" footer="0.5"/>
  <pageSetup paperSize="9" scale="70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2"/>
  <dimension ref="A1:G81"/>
  <sheetViews>
    <sheetView topLeftCell="A16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169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809837.2</v>
      </c>
      <c r="E11" s="211">
        <f>SUM(E12:E14)</f>
        <v>805457.75</v>
      </c>
    </row>
    <row r="12" spans="2:7">
      <c r="B12" s="167" t="s">
        <v>4</v>
      </c>
      <c r="C12" s="168" t="s">
        <v>5</v>
      </c>
      <c r="D12" s="271">
        <v>809837.2</v>
      </c>
      <c r="E12" s="216">
        <v>805457.75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809837.2</v>
      </c>
      <c r="E21" s="145">
        <f>E11-E17</f>
        <v>805457.75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1054816.6299999999</v>
      </c>
      <c r="E26" s="206">
        <f>D21</f>
        <v>809837.2</v>
      </c>
    </row>
    <row r="27" spans="2:6">
      <c r="B27" s="9" t="s">
        <v>17</v>
      </c>
      <c r="C27" s="10" t="s">
        <v>111</v>
      </c>
      <c r="D27" s="285">
        <v>-71859.62999999999</v>
      </c>
      <c r="E27" s="240">
        <v>-13037.39</v>
      </c>
      <c r="F27" s="70"/>
    </row>
    <row r="28" spans="2:6">
      <c r="B28" s="9" t="s">
        <v>18</v>
      </c>
      <c r="C28" s="10" t="s">
        <v>19</v>
      </c>
      <c r="D28" s="285">
        <v>16600.990000000002</v>
      </c>
      <c r="E28" s="241">
        <v>9600.11</v>
      </c>
      <c r="F28" s="70"/>
    </row>
    <row r="29" spans="2:6">
      <c r="B29" s="175" t="s">
        <v>4</v>
      </c>
      <c r="C29" s="168" t="s">
        <v>20</v>
      </c>
      <c r="D29" s="286"/>
      <c r="E29" s="242">
        <v>9600.11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16600.990000000002</v>
      </c>
      <c r="E31" s="242"/>
      <c r="F31" s="70"/>
    </row>
    <row r="32" spans="2:6">
      <c r="B32" s="89" t="s">
        <v>23</v>
      </c>
      <c r="C32" s="11" t="s">
        <v>24</v>
      </c>
      <c r="D32" s="285">
        <v>88460.62</v>
      </c>
      <c r="E32" s="241">
        <v>22637.5</v>
      </c>
      <c r="F32" s="70"/>
    </row>
    <row r="33" spans="2:6">
      <c r="B33" s="175" t="s">
        <v>4</v>
      </c>
      <c r="C33" s="168" t="s">
        <v>25</v>
      </c>
      <c r="D33" s="286">
        <v>45089.13</v>
      </c>
      <c r="E33" s="242">
        <v>15118.05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313.82</v>
      </c>
      <c r="E35" s="242">
        <v>205.24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10383.01</v>
      </c>
      <c r="E37" s="242">
        <v>7314.21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32674.66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109834.99</v>
      </c>
      <c r="E40" s="245">
        <v>8657.94</v>
      </c>
    </row>
    <row r="41" spans="2:6" ht="13.5" thickBot="1">
      <c r="B41" s="96" t="s">
        <v>37</v>
      </c>
      <c r="C41" s="97" t="s">
        <v>38</v>
      </c>
      <c r="D41" s="289">
        <v>1092791.99</v>
      </c>
      <c r="E41" s="145">
        <f>E26+E27+E40</f>
        <v>805457.74999999988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1574.6116999999999</v>
      </c>
      <c r="E47" s="146">
        <v>958.68219999999997</v>
      </c>
    </row>
    <row r="48" spans="2:6">
      <c r="B48" s="180" t="s">
        <v>6</v>
      </c>
      <c r="C48" s="181" t="s">
        <v>41</v>
      </c>
      <c r="D48" s="299">
        <v>1467.82</v>
      </c>
      <c r="E48" s="330">
        <v>943.31359999999995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178" t="s">
        <v>4</v>
      </c>
      <c r="C50" s="179" t="s">
        <v>40</v>
      </c>
      <c r="D50" s="299">
        <v>669.89</v>
      </c>
      <c r="E50" s="331">
        <v>844.74</v>
      </c>
    </row>
    <row r="51" spans="2:5">
      <c r="B51" s="178" t="s">
        <v>6</v>
      </c>
      <c r="C51" s="179" t="s">
        <v>114</v>
      </c>
      <c r="D51" s="299">
        <v>556.80999999999995</v>
      </c>
      <c r="E51" s="331">
        <v>789</v>
      </c>
    </row>
    <row r="52" spans="2:5">
      <c r="B52" s="178" t="s">
        <v>8</v>
      </c>
      <c r="C52" s="179" t="s">
        <v>115</v>
      </c>
      <c r="D52" s="299">
        <v>757.08</v>
      </c>
      <c r="E52" s="308">
        <v>877.41</v>
      </c>
    </row>
    <row r="53" spans="2:5" ht="13.5" customHeight="1" thickBot="1">
      <c r="B53" s="182" t="s">
        <v>9</v>
      </c>
      <c r="C53" s="183" t="s">
        <v>41</v>
      </c>
      <c r="D53" s="297">
        <v>744.5</v>
      </c>
      <c r="E53" s="333">
        <v>853.86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805457.75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805457.75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805457.75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805457.75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2" bottom="0.61" header="0.5" footer="0.5"/>
  <pageSetup paperSize="9" scale="7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3">
    <pageSetUpPr fitToPage="1"/>
  </sheetPr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267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106316.38</v>
      </c>
      <c r="E11" s="211">
        <f>SUM(E12:E14)</f>
        <v>109517.53</v>
      </c>
    </row>
    <row r="12" spans="2:7">
      <c r="B12" s="167" t="s">
        <v>4</v>
      </c>
      <c r="C12" s="168" t="s">
        <v>5</v>
      </c>
      <c r="D12" s="271">
        <v>106316.38</v>
      </c>
      <c r="E12" s="216">
        <v>109517.53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106316.38</v>
      </c>
      <c r="E21" s="145">
        <f>E11-E17</f>
        <v>109517.53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97480.51</v>
      </c>
      <c r="E26" s="206">
        <f>D21</f>
        <v>106316.38</v>
      </c>
    </row>
    <row r="27" spans="2:6">
      <c r="B27" s="9" t="s">
        <v>17</v>
      </c>
      <c r="C27" s="10" t="s">
        <v>111</v>
      </c>
      <c r="D27" s="285">
        <v>18282.650000000009</v>
      </c>
      <c r="E27" s="240">
        <v>-4162.8500000000004</v>
      </c>
      <c r="F27" s="70"/>
    </row>
    <row r="28" spans="2:6">
      <c r="B28" s="9" t="s">
        <v>18</v>
      </c>
      <c r="C28" s="10" t="s">
        <v>19</v>
      </c>
      <c r="D28" s="285">
        <v>80706.100000000006</v>
      </c>
      <c r="E28" s="241">
        <v>19189.73</v>
      </c>
      <c r="F28" s="70"/>
    </row>
    <row r="29" spans="2:6">
      <c r="B29" s="175" t="s">
        <v>4</v>
      </c>
      <c r="C29" s="168" t="s">
        <v>20</v>
      </c>
      <c r="D29" s="286">
        <v>4132.6099999999997</v>
      </c>
      <c r="E29" s="242">
        <v>14910.05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76573.490000000005</v>
      </c>
      <c r="E31" s="242">
        <v>4279.68</v>
      </c>
      <c r="F31" s="70"/>
    </row>
    <row r="32" spans="2:6">
      <c r="B32" s="89" t="s">
        <v>23</v>
      </c>
      <c r="C32" s="11" t="s">
        <v>24</v>
      </c>
      <c r="D32" s="285">
        <v>62423.45</v>
      </c>
      <c r="E32" s="241">
        <v>23352.58</v>
      </c>
      <c r="F32" s="70"/>
    </row>
    <row r="33" spans="2:6">
      <c r="B33" s="175" t="s">
        <v>4</v>
      </c>
      <c r="C33" s="168" t="s">
        <v>25</v>
      </c>
      <c r="D33" s="286"/>
      <c r="E33" s="242">
        <v>156.75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305.04000000000002</v>
      </c>
      <c r="E35" s="242">
        <v>138.16999999999999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374.31</v>
      </c>
      <c r="E37" s="242">
        <v>433.06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61744.1</v>
      </c>
      <c r="E39" s="243">
        <v>22624.6</v>
      </c>
      <c r="F39" s="70"/>
    </row>
    <row r="40" spans="2:6" ht="13.5" thickBot="1">
      <c r="B40" s="94" t="s">
        <v>35</v>
      </c>
      <c r="C40" s="95" t="s">
        <v>36</v>
      </c>
      <c r="D40" s="288">
        <v>-31258.06</v>
      </c>
      <c r="E40" s="245">
        <v>7364</v>
      </c>
    </row>
    <row r="41" spans="2:6" ht="13.5" thickBot="1">
      <c r="B41" s="96" t="s">
        <v>37</v>
      </c>
      <c r="C41" s="97" t="s">
        <v>38</v>
      </c>
      <c r="D41" s="289">
        <v>84505.1</v>
      </c>
      <c r="E41" s="145">
        <f>E26+E27+E40</f>
        <v>109517.53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469.01710000000003</v>
      </c>
      <c r="E47" s="146">
        <v>532.91419999999994</v>
      </c>
    </row>
    <row r="48" spans="2:6">
      <c r="B48" s="180" t="s">
        <v>6</v>
      </c>
      <c r="C48" s="181" t="s">
        <v>41</v>
      </c>
      <c r="D48" s="299">
        <v>545.58140000000003</v>
      </c>
      <c r="E48" s="330">
        <v>507.61309999999997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178" t="s">
        <v>4</v>
      </c>
      <c r="C50" s="179" t="s">
        <v>40</v>
      </c>
      <c r="D50" s="299">
        <v>207.84</v>
      </c>
      <c r="E50" s="331">
        <v>199.5</v>
      </c>
    </row>
    <row r="51" spans="2:5">
      <c r="B51" s="178" t="s">
        <v>6</v>
      </c>
      <c r="C51" s="179" t="s">
        <v>114</v>
      </c>
      <c r="D51" s="299">
        <v>124.32</v>
      </c>
      <c r="E51" s="332">
        <v>187.22</v>
      </c>
    </row>
    <row r="52" spans="2:5">
      <c r="B52" s="178" t="s">
        <v>8</v>
      </c>
      <c r="C52" s="179" t="s">
        <v>115</v>
      </c>
      <c r="D52" s="299">
        <v>217.48</v>
      </c>
      <c r="E52" s="332">
        <v>216.69</v>
      </c>
    </row>
    <row r="53" spans="2:5" ht="14.25" customHeight="1" thickBot="1">
      <c r="B53" s="182" t="s">
        <v>9</v>
      </c>
      <c r="C53" s="183" t="s">
        <v>41</v>
      </c>
      <c r="D53" s="297">
        <v>154.88999999999999</v>
      </c>
      <c r="E53" s="333">
        <v>215.75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109517.53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109517.53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109517.53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109517.53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4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170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63718.090000000004</v>
      </c>
      <c r="E11" s="211">
        <f>SUM(E12:E14)</f>
        <v>85086.58</v>
      </c>
    </row>
    <row r="12" spans="2:7">
      <c r="B12" s="167" t="s">
        <v>4</v>
      </c>
      <c r="C12" s="168" t="s">
        <v>5</v>
      </c>
      <c r="D12" s="271">
        <v>63718.090000000004</v>
      </c>
      <c r="E12" s="216">
        <v>85086.58</v>
      </c>
    </row>
    <row r="13" spans="2:7">
      <c r="B13" s="167" t="s">
        <v>6</v>
      </c>
      <c r="C13" s="169" t="s">
        <v>7</v>
      </c>
      <c r="D13" s="272"/>
      <c r="E13" s="217"/>
    </row>
    <row r="14" spans="2:7">
      <c r="B14" s="167" t="s">
        <v>8</v>
      </c>
      <c r="C14" s="169" t="s">
        <v>10</v>
      </c>
      <c r="D14" s="272"/>
      <c r="E14" s="217"/>
    </row>
    <row r="15" spans="2:7">
      <c r="B15" s="167" t="s">
        <v>106</v>
      </c>
      <c r="C15" s="169" t="s">
        <v>11</v>
      </c>
      <c r="D15" s="272"/>
      <c r="E15" s="217"/>
    </row>
    <row r="16" spans="2:7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63718.090000000004</v>
      </c>
      <c r="E21" s="145">
        <f>E11-E17</f>
        <v>85086.58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64221.560000000005</v>
      </c>
      <c r="E26" s="206">
        <f>D21</f>
        <v>63718.090000000004</v>
      </c>
    </row>
    <row r="27" spans="2:6">
      <c r="B27" s="9" t="s">
        <v>17</v>
      </c>
      <c r="C27" s="10" t="s">
        <v>111</v>
      </c>
      <c r="D27" s="285">
        <v>-5319.6599999999962</v>
      </c>
      <c r="E27" s="240">
        <v>16442.900000000001</v>
      </c>
      <c r="F27" s="70"/>
    </row>
    <row r="28" spans="2:6">
      <c r="B28" s="9" t="s">
        <v>18</v>
      </c>
      <c r="C28" s="10" t="s">
        <v>19</v>
      </c>
      <c r="D28" s="285">
        <v>36090.65</v>
      </c>
      <c r="E28" s="241">
        <v>17376.150000000001</v>
      </c>
      <c r="F28" s="70"/>
    </row>
    <row r="29" spans="2:6">
      <c r="B29" s="175" t="s">
        <v>4</v>
      </c>
      <c r="C29" s="168" t="s">
        <v>20</v>
      </c>
      <c r="D29" s="286">
        <v>1675.97</v>
      </c>
      <c r="E29" s="242">
        <v>14612.49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34414.68</v>
      </c>
      <c r="E31" s="242">
        <v>2763.66</v>
      </c>
      <c r="F31" s="70"/>
    </row>
    <row r="32" spans="2:6">
      <c r="B32" s="89" t="s">
        <v>23</v>
      </c>
      <c r="C32" s="11" t="s">
        <v>24</v>
      </c>
      <c r="D32" s="285">
        <v>41410.31</v>
      </c>
      <c r="E32" s="241">
        <v>933.25</v>
      </c>
      <c r="F32" s="70"/>
    </row>
    <row r="33" spans="2:6">
      <c r="B33" s="175" t="s">
        <v>4</v>
      </c>
      <c r="C33" s="168" t="s">
        <v>25</v>
      </c>
      <c r="D33" s="286">
        <v>448.45</v>
      </c>
      <c r="E33" s="242">
        <v>345.59000000000003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181.64</v>
      </c>
      <c r="E35" s="242">
        <v>160.15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289.8</v>
      </c>
      <c r="E37" s="242">
        <v>363.46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40490.42</v>
      </c>
      <c r="E39" s="243">
        <v>64.05</v>
      </c>
      <c r="F39" s="70"/>
    </row>
    <row r="40" spans="2:6" ht="13.5" thickBot="1">
      <c r="B40" s="94" t="s">
        <v>35</v>
      </c>
      <c r="C40" s="95" t="s">
        <v>36</v>
      </c>
      <c r="D40" s="288">
        <v>-9447.52</v>
      </c>
      <c r="E40" s="245">
        <v>4925.59</v>
      </c>
    </row>
    <row r="41" spans="2:6" ht="13.5" thickBot="1">
      <c r="B41" s="96" t="s">
        <v>37</v>
      </c>
      <c r="C41" s="97" t="s">
        <v>38</v>
      </c>
      <c r="D41" s="289">
        <v>49454.380000000005</v>
      </c>
      <c r="E41" s="145">
        <f>E26+E27+E40</f>
        <v>85086.58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334">
        <v>687.81790000000001</v>
      </c>
      <c r="E47" s="146">
        <v>668.39499999999998</v>
      </c>
    </row>
    <row r="48" spans="2:6">
      <c r="B48" s="180" t="s">
        <v>6</v>
      </c>
      <c r="C48" s="181" t="s">
        <v>41</v>
      </c>
      <c r="D48" s="334">
        <v>614.1875</v>
      </c>
      <c r="E48" s="335">
        <v>830.84249999999997</v>
      </c>
    </row>
    <row r="49" spans="2:5">
      <c r="B49" s="117" t="s">
        <v>23</v>
      </c>
      <c r="C49" s="121" t="s">
        <v>113</v>
      </c>
      <c r="D49" s="334"/>
      <c r="E49" s="295"/>
    </row>
    <row r="50" spans="2:5">
      <c r="B50" s="178" t="s">
        <v>4</v>
      </c>
      <c r="C50" s="179" t="s">
        <v>40</v>
      </c>
      <c r="D50" s="334">
        <v>93.37</v>
      </c>
      <c r="E50" s="295">
        <v>95.33</v>
      </c>
    </row>
    <row r="51" spans="2:5">
      <c r="B51" s="178" t="s">
        <v>6</v>
      </c>
      <c r="C51" s="179" t="s">
        <v>114</v>
      </c>
      <c r="D51" s="334">
        <v>65.849999999999994</v>
      </c>
      <c r="E51" s="304">
        <v>95.33</v>
      </c>
    </row>
    <row r="52" spans="2:5">
      <c r="B52" s="178" t="s">
        <v>8</v>
      </c>
      <c r="C52" s="179" t="s">
        <v>115</v>
      </c>
      <c r="D52" s="334">
        <v>96.4</v>
      </c>
      <c r="E52" s="304">
        <v>108.81</v>
      </c>
    </row>
    <row r="53" spans="2:5" ht="13.5" customHeight="1" thickBot="1">
      <c r="B53" s="182" t="s">
        <v>9</v>
      </c>
      <c r="C53" s="183" t="s">
        <v>41</v>
      </c>
      <c r="D53" s="297">
        <v>80.52</v>
      </c>
      <c r="E53" s="336">
        <v>102.41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85086.58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85086.58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85086.58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85086.58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3" bottom="0.51" header="0.5" footer="0.5"/>
  <pageSetup paperSize="9" scale="7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5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171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165887.34</v>
      </c>
      <c r="E11" s="211">
        <f>SUM(E12:E14)</f>
        <v>138112.81</v>
      </c>
    </row>
    <row r="12" spans="2:7">
      <c r="B12" s="103" t="s">
        <v>4</v>
      </c>
      <c r="C12" s="6" t="s">
        <v>5</v>
      </c>
      <c r="D12" s="271">
        <v>165887.34</v>
      </c>
      <c r="E12" s="216">
        <v>138112.81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165887.34</v>
      </c>
      <c r="E21" s="145">
        <f>E11-E17</f>
        <v>138112.81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32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130247.85</v>
      </c>
      <c r="E26" s="206">
        <f>D21</f>
        <v>165887.34</v>
      </c>
    </row>
    <row r="27" spans="2:6">
      <c r="B27" s="9" t="s">
        <v>17</v>
      </c>
      <c r="C27" s="10" t="s">
        <v>111</v>
      </c>
      <c r="D27" s="285">
        <v>56037.31</v>
      </c>
      <c r="E27" s="240">
        <v>-15267.69</v>
      </c>
      <c r="F27" s="70"/>
    </row>
    <row r="28" spans="2:6">
      <c r="B28" s="9" t="s">
        <v>18</v>
      </c>
      <c r="C28" s="10" t="s">
        <v>19</v>
      </c>
      <c r="D28" s="285">
        <v>305021.37</v>
      </c>
      <c r="E28" s="241">
        <v>13058.14</v>
      </c>
      <c r="F28" s="70"/>
    </row>
    <row r="29" spans="2:6">
      <c r="B29" s="101" t="s">
        <v>4</v>
      </c>
      <c r="C29" s="6" t="s">
        <v>20</v>
      </c>
      <c r="D29" s="286">
        <v>9390.31</v>
      </c>
      <c r="E29" s="242">
        <v>11644.76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295631.06</v>
      </c>
      <c r="E31" s="242">
        <v>1413.38</v>
      </c>
      <c r="F31" s="70"/>
    </row>
    <row r="32" spans="2:6">
      <c r="B32" s="89" t="s">
        <v>23</v>
      </c>
      <c r="C32" s="11" t="s">
        <v>24</v>
      </c>
      <c r="D32" s="285">
        <v>248984.06</v>
      </c>
      <c r="E32" s="241">
        <v>28325.83</v>
      </c>
      <c r="F32" s="70"/>
    </row>
    <row r="33" spans="2:6">
      <c r="B33" s="101" t="s">
        <v>4</v>
      </c>
      <c r="C33" s="6" t="s">
        <v>25</v>
      </c>
      <c r="D33" s="286">
        <v>1203.28</v>
      </c>
      <c r="E33" s="242">
        <v>2303.59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611.27</v>
      </c>
      <c r="E35" s="242">
        <v>545.23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1139.45</v>
      </c>
      <c r="E37" s="242">
        <v>1053.49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246030.06</v>
      </c>
      <c r="E39" s="243">
        <v>24423.52</v>
      </c>
      <c r="F39" s="70"/>
    </row>
    <row r="40" spans="2:6" ht="13.5" thickBot="1">
      <c r="B40" s="94" t="s">
        <v>35</v>
      </c>
      <c r="C40" s="95" t="s">
        <v>36</v>
      </c>
      <c r="D40" s="288">
        <v>26757.87</v>
      </c>
      <c r="E40" s="245">
        <v>-12506.84</v>
      </c>
    </row>
    <row r="41" spans="2:6" ht="13.5" thickBot="1">
      <c r="B41" s="96" t="s">
        <v>37</v>
      </c>
      <c r="C41" s="97" t="s">
        <v>38</v>
      </c>
      <c r="D41" s="289">
        <v>213043.03</v>
      </c>
      <c r="E41" s="145">
        <f>E26+E27+E40</f>
        <v>138112.81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32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843.30110000000002</v>
      </c>
      <c r="E47" s="146">
        <v>917.92459999999994</v>
      </c>
    </row>
    <row r="48" spans="2:6">
      <c r="B48" s="120" t="s">
        <v>6</v>
      </c>
      <c r="C48" s="22" t="s">
        <v>41</v>
      </c>
      <c r="D48" s="299">
        <v>1209.3036999999999</v>
      </c>
      <c r="E48" s="330">
        <v>827.71669999999995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99" t="s">
        <v>4</v>
      </c>
      <c r="C50" s="15" t="s">
        <v>40</v>
      </c>
      <c r="D50" s="299">
        <v>154.44999999999999</v>
      </c>
      <c r="E50" s="331">
        <v>180.72</v>
      </c>
    </row>
    <row r="51" spans="2:5">
      <c r="B51" s="99" t="s">
        <v>6</v>
      </c>
      <c r="C51" s="15" t="s">
        <v>114</v>
      </c>
      <c r="D51" s="299">
        <v>146.63</v>
      </c>
      <c r="E51" s="331">
        <v>161.69999999999999</v>
      </c>
    </row>
    <row r="52" spans="2:5">
      <c r="B52" s="99" t="s">
        <v>8</v>
      </c>
      <c r="C52" s="15" t="s">
        <v>115</v>
      </c>
      <c r="D52" s="299">
        <v>176.17</v>
      </c>
      <c r="E52" s="332">
        <v>186.57</v>
      </c>
    </row>
    <row r="53" spans="2:5" ht="12.75" customHeight="1" thickBot="1">
      <c r="B53" s="100" t="s">
        <v>9</v>
      </c>
      <c r="C53" s="17" t="s">
        <v>41</v>
      </c>
      <c r="D53" s="297">
        <v>176.17</v>
      </c>
      <c r="E53" s="333">
        <v>166.86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138112.81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138112.81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138112.81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138112.81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67" header="0.5" footer="0.5"/>
  <pageSetup paperSize="9" scale="70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6"/>
  <dimension ref="A1:G81"/>
  <sheetViews>
    <sheetView topLeftCell="A13" zoomScale="80" zoomScaleNormal="80" workbookViewId="0">
      <selection activeCell="G1" sqref="G1:K1048576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131"/>
      <c r="C4" s="131"/>
      <c r="D4" s="131"/>
      <c r="E4" s="131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231</v>
      </c>
      <c r="C6" s="354"/>
      <c r="D6" s="354"/>
      <c r="E6" s="354"/>
    </row>
    <row r="7" spans="2:7" ht="14.25">
      <c r="B7" s="130"/>
      <c r="C7" s="130"/>
      <c r="D7" s="130"/>
      <c r="E7" s="130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132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25" t="s">
        <v>109</v>
      </c>
      <c r="D11" s="270">
        <v>72110.429999999993</v>
      </c>
      <c r="E11" s="211">
        <f>SUM(E12:E14)</f>
        <v>72902.84</v>
      </c>
    </row>
    <row r="12" spans="2:7">
      <c r="B12" s="103" t="s">
        <v>4</v>
      </c>
      <c r="C12" s="6" t="s">
        <v>5</v>
      </c>
      <c r="D12" s="271">
        <v>72110.429999999993</v>
      </c>
      <c r="E12" s="216">
        <v>72902.84</v>
      </c>
    </row>
    <row r="13" spans="2:7">
      <c r="B13" s="103" t="s">
        <v>6</v>
      </c>
      <c r="C13" s="67" t="s">
        <v>7</v>
      </c>
      <c r="D13" s="272"/>
      <c r="E13" s="217"/>
    </row>
    <row r="14" spans="2:7">
      <c r="B14" s="103" t="s">
        <v>8</v>
      </c>
      <c r="C14" s="67" t="s">
        <v>10</v>
      </c>
      <c r="D14" s="272"/>
      <c r="E14" s="217"/>
    </row>
    <row r="15" spans="2:7">
      <c r="B15" s="103" t="s">
        <v>106</v>
      </c>
      <c r="C15" s="67" t="s">
        <v>11</v>
      </c>
      <c r="D15" s="272"/>
      <c r="E15" s="217"/>
    </row>
    <row r="16" spans="2:7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72110.429999999993</v>
      </c>
      <c r="E21" s="145">
        <f>E11-E17</f>
        <v>72902.84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32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77206.5</v>
      </c>
      <c r="E26" s="206">
        <f>D21</f>
        <v>72110.429999999993</v>
      </c>
    </row>
    <row r="27" spans="2:6">
      <c r="B27" s="9" t="s">
        <v>17</v>
      </c>
      <c r="C27" s="10" t="s">
        <v>111</v>
      </c>
      <c r="D27" s="285">
        <v>1114.8599999999997</v>
      </c>
      <c r="E27" s="240">
        <v>1158.8699999999999</v>
      </c>
      <c r="F27" s="70"/>
    </row>
    <row r="28" spans="2:6">
      <c r="B28" s="9" t="s">
        <v>18</v>
      </c>
      <c r="C28" s="10" t="s">
        <v>19</v>
      </c>
      <c r="D28" s="285">
        <v>4666.37</v>
      </c>
      <c r="E28" s="241">
        <v>1607.77</v>
      </c>
      <c r="F28" s="70"/>
    </row>
    <row r="29" spans="2:6">
      <c r="B29" s="101" t="s">
        <v>4</v>
      </c>
      <c r="C29" s="6" t="s">
        <v>20</v>
      </c>
      <c r="D29" s="286">
        <v>1757.31</v>
      </c>
      <c r="E29" s="242">
        <v>1555.66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2909.06</v>
      </c>
      <c r="E31" s="242">
        <v>52.11</v>
      </c>
      <c r="F31" s="70"/>
    </row>
    <row r="32" spans="2:6">
      <c r="B32" s="89" t="s">
        <v>23</v>
      </c>
      <c r="C32" s="11" t="s">
        <v>24</v>
      </c>
      <c r="D32" s="285">
        <v>3551.51</v>
      </c>
      <c r="E32" s="241">
        <v>448.9</v>
      </c>
      <c r="F32" s="70"/>
    </row>
    <row r="33" spans="2:6">
      <c r="B33" s="101" t="s">
        <v>4</v>
      </c>
      <c r="C33" s="6" t="s">
        <v>25</v>
      </c>
      <c r="D33" s="286"/>
      <c r="E33" s="242"/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259.17</v>
      </c>
      <c r="E35" s="242">
        <v>196.1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384.31</v>
      </c>
      <c r="E37" s="242">
        <v>252.8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2908.03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167.08</v>
      </c>
      <c r="E40" s="245">
        <v>-366.46</v>
      </c>
    </row>
    <row r="41" spans="2:6" ht="13.5" thickBot="1">
      <c r="B41" s="96" t="s">
        <v>37</v>
      </c>
      <c r="C41" s="97" t="s">
        <v>38</v>
      </c>
      <c r="D41" s="289">
        <v>78488.44</v>
      </c>
      <c r="E41" s="145">
        <f>E26+E27+E40</f>
        <v>72902.839999999982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32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563.71569999999997</v>
      </c>
      <c r="E47" s="146">
        <v>518.85469999999998</v>
      </c>
    </row>
    <row r="48" spans="2:6">
      <c r="B48" s="120" t="s">
        <v>6</v>
      </c>
      <c r="C48" s="22" t="s">
        <v>41</v>
      </c>
      <c r="D48" s="299">
        <v>571.86479999999995</v>
      </c>
      <c r="E48" s="330">
        <v>527.17359999999996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99" t="s">
        <v>4</v>
      </c>
      <c r="C50" s="15" t="s">
        <v>40</v>
      </c>
      <c r="D50" s="299">
        <v>136.96</v>
      </c>
      <c r="E50" s="331">
        <v>138.97999999999999</v>
      </c>
    </row>
    <row r="51" spans="2:5">
      <c r="B51" s="99" t="s">
        <v>6</v>
      </c>
      <c r="C51" s="15" t="s">
        <v>114</v>
      </c>
      <c r="D51" s="299">
        <v>135.22</v>
      </c>
      <c r="E51" s="332">
        <v>137.84</v>
      </c>
    </row>
    <row r="52" spans="2:5">
      <c r="B52" s="99" t="s">
        <v>8</v>
      </c>
      <c r="C52" s="15" t="s">
        <v>115</v>
      </c>
      <c r="D52" s="299">
        <v>137.56</v>
      </c>
      <c r="E52" s="332">
        <v>140.5</v>
      </c>
    </row>
    <row r="53" spans="2:5" ht="13.5" customHeight="1" thickBot="1">
      <c r="B53" s="100" t="s">
        <v>9</v>
      </c>
      <c r="C53" s="17" t="s">
        <v>41</v>
      </c>
      <c r="D53" s="297">
        <v>137.25</v>
      </c>
      <c r="E53" s="333">
        <v>138.29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72902.84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72902.84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72902.84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72902.84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49" header="0.5" footer="0.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bestFit="1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88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48151397.920000002</v>
      </c>
      <c r="E11" s="211">
        <f>SUM(E12:E14)</f>
        <v>58638588.870000005</v>
      </c>
    </row>
    <row r="12" spans="2:7">
      <c r="B12" s="103" t="s">
        <v>4</v>
      </c>
      <c r="C12" s="188" t="s">
        <v>5</v>
      </c>
      <c r="D12" s="271">
        <f>48428623.4+123683.39-409651.33</f>
        <v>48142655.460000001</v>
      </c>
      <c r="E12" s="216">
        <f>58701565.2+86631.28-479615.49</f>
        <v>58308580.990000002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>
        <f>D15</f>
        <v>8742.4599999999991</v>
      </c>
      <c r="E14" s="217">
        <f>E15</f>
        <v>330007.88</v>
      </c>
    </row>
    <row r="15" spans="2:7">
      <c r="B15" s="103" t="s">
        <v>106</v>
      </c>
      <c r="C15" s="188" t="s">
        <v>11</v>
      </c>
      <c r="D15" s="272">
        <v>8742.4599999999991</v>
      </c>
      <c r="E15" s="217">
        <v>330007.88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90899.08</v>
      </c>
      <c r="E17" s="219">
        <f>E18</f>
        <v>283539.08</v>
      </c>
    </row>
    <row r="18" spans="2:6">
      <c r="B18" s="103" t="s">
        <v>4</v>
      </c>
      <c r="C18" s="188" t="s">
        <v>11</v>
      </c>
      <c r="D18" s="273">
        <v>90899.08</v>
      </c>
      <c r="E18" s="218">
        <v>283539.08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48060498.840000004</v>
      </c>
      <c r="E21" s="145">
        <f>E11-E17</f>
        <v>58355049.790000007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6.5" customHeight="1" thickBot="1">
      <c r="B24" s="355" t="s">
        <v>105</v>
      </c>
      <c r="C24" s="369"/>
      <c r="D24" s="369"/>
      <c r="E24" s="369"/>
    </row>
    <row r="25" spans="2:6" ht="13.5" thickBot="1">
      <c r="B25" s="83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40247423.240000002</v>
      </c>
      <c r="E26" s="206">
        <f>D21</f>
        <v>48060498.840000004</v>
      </c>
    </row>
    <row r="27" spans="2:6">
      <c r="B27" s="9" t="s">
        <v>17</v>
      </c>
      <c r="C27" s="10" t="s">
        <v>111</v>
      </c>
      <c r="D27" s="285">
        <v>3498.8900000001304</v>
      </c>
      <c r="E27" s="240">
        <v>-152264.25000000047</v>
      </c>
      <c r="F27" s="70"/>
    </row>
    <row r="28" spans="2:6">
      <c r="B28" s="9" t="s">
        <v>18</v>
      </c>
      <c r="C28" s="10" t="s">
        <v>19</v>
      </c>
      <c r="D28" s="285">
        <v>3178205.97</v>
      </c>
      <c r="E28" s="241">
        <v>3648291.4999999995</v>
      </c>
      <c r="F28" s="70"/>
    </row>
    <row r="29" spans="2:6">
      <c r="B29" s="101" t="s">
        <v>4</v>
      </c>
      <c r="C29" s="6" t="s">
        <v>20</v>
      </c>
      <c r="D29" s="286">
        <v>3003676.59</v>
      </c>
      <c r="E29" s="242">
        <v>3375690.6399999997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174529.38</v>
      </c>
      <c r="E31" s="242">
        <v>272600.86</v>
      </c>
      <c r="F31" s="70"/>
    </row>
    <row r="32" spans="2:6">
      <c r="B32" s="89" t="s">
        <v>23</v>
      </c>
      <c r="C32" s="11" t="s">
        <v>24</v>
      </c>
      <c r="D32" s="285">
        <v>3174707.08</v>
      </c>
      <c r="E32" s="241">
        <v>3800555.75</v>
      </c>
      <c r="F32" s="70"/>
    </row>
    <row r="33" spans="2:6">
      <c r="B33" s="101" t="s">
        <v>4</v>
      </c>
      <c r="C33" s="6" t="s">
        <v>25</v>
      </c>
      <c r="D33" s="286">
        <v>1777022.33</v>
      </c>
      <c r="E33" s="242">
        <v>2311423.98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663183.72</v>
      </c>
      <c r="E35" s="242">
        <v>642899.61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734501.03</v>
      </c>
      <c r="E39" s="243">
        <v>846232.16</v>
      </c>
      <c r="F39" s="70"/>
    </row>
    <row r="40" spans="2:6" ht="13.5" thickBot="1">
      <c r="B40" s="94" t="s">
        <v>35</v>
      </c>
      <c r="C40" s="95" t="s">
        <v>36</v>
      </c>
      <c r="D40" s="288">
        <v>-898576.48</v>
      </c>
      <c r="E40" s="245">
        <v>10446815.199999999</v>
      </c>
    </row>
    <row r="41" spans="2:6" ht="13.5" thickBot="1">
      <c r="B41" s="96" t="s">
        <v>37</v>
      </c>
      <c r="C41" s="97" t="s">
        <v>38</v>
      </c>
      <c r="D41" s="289">
        <v>39352345.650000006</v>
      </c>
      <c r="E41" s="145">
        <f>E26+E27+E40</f>
        <v>58355049.790000007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5.7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4185254.5138000003</v>
      </c>
      <c r="E47" s="300">
        <v>4076313.5721999998</v>
      </c>
    </row>
    <row r="48" spans="2:6">
      <c r="B48" s="180" t="s">
        <v>6</v>
      </c>
      <c r="C48" s="181" t="s">
        <v>41</v>
      </c>
      <c r="D48" s="299">
        <v>4183585.7086</v>
      </c>
      <c r="E48" s="310">
        <v>4072147.5583000001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9.6165000000000003</v>
      </c>
      <c r="E50" s="300">
        <v>11.7902</v>
      </c>
    </row>
    <row r="51" spans="2:5">
      <c r="B51" s="178" t="s">
        <v>6</v>
      </c>
      <c r="C51" s="179" t="s">
        <v>114</v>
      </c>
      <c r="D51" s="299">
        <v>6.5929000000000002</v>
      </c>
      <c r="E51" s="72">
        <v>11.7902</v>
      </c>
    </row>
    <row r="52" spans="2:5" ht="12.75" customHeight="1">
      <c r="B52" s="178" t="s">
        <v>8</v>
      </c>
      <c r="C52" s="179" t="s">
        <v>115</v>
      </c>
      <c r="D52" s="299">
        <v>9.9838000000000005</v>
      </c>
      <c r="E52" s="72">
        <v>14.4909</v>
      </c>
    </row>
    <row r="53" spans="2:5" ht="13.5" thickBot="1">
      <c r="B53" s="182" t="s">
        <v>9</v>
      </c>
      <c r="C53" s="183" t="s">
        <v>41</v>
      </c>
      <c r="D53" s="297">
        <v>9.4063999999999997</v>
      </c>
      <c r="E53" s="246">
        <v>14.330299999999999</v>
      </c>
    </row>
    <row r="54" spans="2:5">
      <c r="B54" s="184"/>
      <c r="C54" s="185"/>
      <c r="D54" s="108"/>
      <c r="E54" s="108"/>
    </row>
    <row r="55" spans="2:5" ht="13.5">
      <c r="B55" s="357" t="s">
        <v>62</v>
      </c>
      <c r="C55" s="366"/>
      <c r="D55" s="366"/>
      <c r="E55" s="366"/>
    </row>
    <row r="56" spans="2:5" ht="18" customHeight="1" thickBot="1">
      <c r="B56" s="355" t="s">
        <v>116</v>
      </c>
      <c r="C56" s="367"/>
      <c r="D56" s="367"/>
      <c r="E56" s="367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58308580.990000002</v>
      </c>
      <c r="E58" s="31">
        <f>D58/E21</f>
        <v>0.99920368845254648</v>
      </c>
    </row>
    <row r="59" spans="2:5" ht="25.5">
      <c r="B59" s="311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312" t="s">
        <v>6</v>
      </c>
      <c r="C60" s="179" t="s">
        <v>45</v>
      </c>
      <c r="D60" s="75">
        <v>0</v>
      </c>
      <c r="E60" s="76">
        <v>0</v>
      </c>
    </row>
    <row r="61" spans="2:5">
      <c r="B61" s="312" t="s">
        <v>8</v>
      </c>
      <c r="C61" s="179" t="s">
        <v>46</v>
      </c>
      <c r="D61" s="75">
        <v>0</v>
      </c>
      <c r="E61" s="76">
        <v>0</v>
      </c>
    </row>
    <row r="62" spans="2:5">
      <c r="B62" s="312" t="s">
        <v>9</v>
      </c>
      <c r="C62" s="179" t="s">
        <v>47</v>
      </c>
      <c r="D62" s="75">
        <v>0</v>
      </c>
      <c r="E62" s="76">
        <v>0</v>
      </c>
    </row>
    <row r="63" spans="2:5">
      <c r="B63" s="312" t="s">
        <v>29</v>
      </c>
      <c r="C63" s="179" t="s">
        <v>48</v>
      </c>
      <c r="D63" s="75">
        <v>0</v>
      </c>
      <c r="E63" s="76">
        <v>0</v>
      </c>
    </row>
    <row r="64" spans="2:5">
      <c r="B64" s="311" t="s">
        <v>31</v>
      </c>
      <c r="C64" s="181" t="s">
        <v>49</v>
      </c>
      <c r="D64" s="306">
        <f>58701565.2-479615.49</f>
        <v>58221949.710000001</v>
      </c>
      <c r="E64" s="78">
        <f>D64/E21</f>
        <v>0.99771913346867169</v>
      </c>
    </row>
    <row r="65" spans="2:5">
      <c r="B65" s="311" t="s">
        <v>33</v>
      </c>
      <c r="C65" s="181" t="s">
        <v>118</v>
      </c>
      <c r="D65" s="77">
        <v>0</v>
      </c>
      <c r="E65" s="78">
        <v>0</v>
      </c>
    </row>
    <row r="66" spans="2:5">
      <c r="B66" s="311" t="s">
        <v>50</v>
      </c>
      <c r="C66" s="181" t="s">
        <v>51</v>
      </c>
      <c r="D66" s="77">
        <v>0</v>
      </c>
      <c r="E66" s="78">
        <v>0</v>
      </c>
    </row>
    <row r="67" spans="2:5">
      <c r="B67" s="312" t="s">
        <v>52</v>
      </c>
      <c r="C67" s="179" t="s">
        <v>53</v>
      </c>
      <c r="D67" s="75">
        <v>0</v>
      </c>
      <c r="E67" s="76">
        <v>0</v>
      </c>
    </row>
    <row r="68" spans="2:5">
      <c r="B68" s="312" t="s">
        <v>54</v>
      </c>
      <c r="C68" s="179" t="s">
        <v>55</v>
      </c>
      <c r="D68" s="75">
        <v>0</v>
      </c>
      <c r="E68" s="76">
        <v>0</v>
      </c>
    </row>
    <row r="69" spans="2:5">
      <c r="B69" s="312" t="s">
        <v>56</v>
      </c>
      <c r="C69" s="179" t="s">
        <v>57</v>
      </c>
      <c r="D69" s="298">
        <v>86631.28</v>
      </c>
      <c r="E69" s="76">
        <f>D69/E21</f>
        <v>1.4845549838746867E-3</v>
      </c>
    </row>
    <row r="70" spans="2:5">
      <c r="B70" s="313" t="s">
        <v>58</v>
      </c>
      <c r="C70" s="207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330007.88</v>
      </c>
      <c r="E72" s="116">
        <f>D72/E21</f>
        <v>5.6551726232363132E-3</v>
      </c>
    </row>
    <row r="73" spans="2:5">
      <c r="B73" s="23" t="s">
        <v>62</v>
      </c>
      <c r="C73" s="24" t="s">
        <v>65</v>
      </c>
      <c r="D73" s="25">
        <f>E17</f>
        <v>283539.08</v>
      </c>
      <c r="E73" s="26">
        <f>D73/E21</f>
        <v>4.8588610757828296E-3</v>
      </c>
    </row>
    <row r="74" spans="2:5">
      <c r="B74" s="117" t="s">
        <v>64</v>
      </c>
      <c r="C74" s="118" t="s">
        <v>66</v>
      </c>
      <c r="D74" s="119">
        <f>D58+D71+D72-D73</f>
        <v>58355049.790000007</v>
      </c>
      <c r="E74" s="65">
        <f>E58+E72-E73</f>
        <v>0.99999999999999989</v>
      </c>
    </row>
    <row r="75" spans="2:5">
      <c r="B75" s="312" t="s">
        <v>4</v>
      </c>
      <c r="C75" s="179" t="s">
        <v>67</v>
      </c>
      <c r="D75" s="75">
        <f>D74</f>
        <v>58355049.790000007</v>
      </c>
      <c r="E75" s="76">
        <f>E74</f>
        <v>0.99999999999999989</v>
      </c>
    </row>
    <row r="76" spans="2:5">
      <c r="B76" s="312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314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1" bottom="0.36" header="0.5" footer="0.5"/>
  <pageSetup paperSize="9" scale="70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7"/>
  <dimension ref="A1:F81"/>
  <sheetViews>
    <sheetView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1"/>
      <c r="C4" s="131"/>
      <c r="D4" s="131"/>
      <c r="E4" s="13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172</v>
      </c>
      <c r="C6" s="354"/>
      <c r="D6" s="354"/>
      <c r="E6" s="354"/>
    </row>
    <row r="7" spans="2:5" ht="14.25">
      <c r="B7" s="130"/>
      <c r="C7" s="130"/>
      <c r="D7" s="130"/>
      <c r="E7" s="130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2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244056.62000000002</v>
      </c>
      <c r="E11" s="211">
        <f>SUM(E12:E14)</f>
        <v>281239.84000000003</v>
      </c>
    </row>
    <row r="12" spans="2:5">
      <c r="B12" s="103" t="s">
        <v>4</v>
      </c>
      <c r="C12" s="6" t="s">
        <v>5</v>
      </c>
      <c r="D12" s="271">
        <v>244056.62000000002</v>
      </c>
      <c r="E12" s="216">
        <v>281239.84000000003</v>
      </c>
    </row>
    <row r="13" spans="2:5">
      <c r="B13" s="103" t="s">
        <v>6</v>
      </c>
      <c r="C13" s="67" t="s">
        <v>7</v>
      </c>
      <c r="D13" s="272"/>
      <c r="E13" s="217"/>
    </row>
    <row r="14" spans="2:5">
      <c r="B14" s="103" t="s">
        <v>8</v>
      </c>
      <c r="C14" s="67" t="s">
        <v>10</v>
      </c>
      <c r="D14" s="272"/>
      <c r="E14" s="217"/>
    </row>
    <row r="15" spans="2:5">
      <c r="B15" s="103" t="s">
        <v>106</v>
      </c>
      <c r="C15" s="67" t="s">
        <v>11</v>
      </c>
      <c r="D15" s="272"/>
      <c r="E15" s="217"/>
    </row>
    <row r="16" spans="2:5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244056.62000000002</v>
      </c>
      <c r="E21" s="145">
        <f>E11-E17</f>
        <v>281239.84000000003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32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177841.15</v>
      </c>
      <c r="E26" s="206">
        <f>D21</f>
        <v>244056.62000000002</v>
      </c>
    </row>
    <row r="27" spans="2:6">
      <c r="B27" s="9" t="s">
        <v>17</v>
      </c>
      <c r="C27" s="10" t="s">
        <v>111</v>
      </c>
      <c r="D27" s="285">
        <v>-3110.3800000000047</v>
      </c>
      <c r="E27" s="240">
        <v>15098.73</v>
      </c>
      <c r="F27" s="70"/>
    </row>
    <row r="28" spans="2:6">
      <c r="B28" s="9" t="s">
        <v>18</v>
      </c>
      <c r="C28" s="10" t="s">
        <v>19</v>
      </c>
      <c r="D28" s="285">
        <v>16872.559999999998</v>
      </c>
      <c r="E28" s="241">
        <v>61306.240000000005</v>
      </c>
      <c r="F28" s="70"/>
    </row>
    <row r="29" spans="2:6">
      <c r="B29" s="101" t="s">
        <v>4</v>
      </c>
      <c r="C29" s="6" t="s">
        <v>20</v>
      </c>
      <c r="D29" s="286">
        <v>9787.31</v>
      </c>
      <c r="E29" s="242">
        <v>22743.62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7085.25</v>
      </c>
      <c r="E31" s="242">
        <v>38562.620000000003</v>
      </c>
      <c r="F31" s="70"/>
    </row>
    <row r="32" spans="2:6">
      <c r="B32" s="89" t="s">
        <v>23</v>
      </c>
      <c r="C32" s="11" t="s">
        <v>24</v>
      </c>
      <c r="D32" s="285">
        <v>19982.940000000002</v>
      </c>
      <c r="E32" s="241">
        <v>46207.51</v>
      </c>
      <c r="F32" s="70"/>
    </row>
    <row r="33" spans="2:6">
      <c r="B33" s="101" t="s">
        <v>4</v>
      </c>
      <c r="C33" s="6" t="s">
        <v>25</v>
      </c>
      <c r="D33" s="286">
        <v>9724.84</v>
      </c>
      <c r="E33" s="242">
        <v>16577.38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1022.58</v>
      </c>
      <c r="E35" s="242">
        <v>1053.8499999999999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>
        <v>832.77</v>
      </c>
      <c r="E37" s="242">
        <v>1365.73</v>
      </c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8402.75</v>
      </c>
      <c r="E39" s="243">
        <v>27210.55</v>
      </c>
      <c r="F39" s="70"/>
    </row>
    <row r="40" spans="2:6" ht="13.5" thickBot="1">
      <c r="B40" s="94" t="s">
        <v>35</v>
      </c>
      <c r="C40" s="95" t="s">
        <v>36</v>
      </c>
      <c r="D40" s="288">
        <v>-3151.25</v>
      </c>
      <c r="E40" s="245">
        <v>22084.49</v>
      </c>
    </row>
    <row r="41" spans="2:6" ht="13.5" thickBot="1">
      <c r="B41" s="96" t="s">
        <v>37</v>
      </c>
      <c r="C41" s="97" t="s">
        <v>38</v>
      </c>
      <c r="D41" s="289">
        <v>171579.51999999999</v>
      </c>
      <c r="E41" s="145">
        <f>E26+E27+E40</f>
        <v>281239.84000000003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32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726.7127999999999</v>
      </c>
      <c r="E47" s="146">
        <v>855.52849999999989</v>
      </c>
    </row>
    <row r="48" spans="2:6">
      <c r="B48" s="120" t="s">
        <v>6</v>
      </c>
      <c r="C48" s="22" t="s">
        <v>41</v>
      </c>
      <c r="D48" s="299">
        <v>717.0059</v>
      </c>
      <c r="E48" s="330">
        <v>907.07899999999995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99" t="s">
        <v>4</v>
      </c>
      <c r="C50" s="15" t="s">
        <v>40</v>
      </c>
      <c r="D50" s="299">
        <v>244.72</v>
      </c>
      <c r="E50" s="331">
        <v>285.27</v>
      </c>
    </row>
    <row r="51" spans="2:5">
      <c r="B51" s="99" t="s">
        <v>6</v>
      </c>
      <c r="C51" s="15" t="s">
        <v>114</v>
      </c>
      <c r="D51" s="299">
        <v>199.11</v>
      </c>
      <c r="E51" s="332">
        <v>285.27</v>
      </c>
    </row>
    <row r="52" spans="2:5">
      <c r="B52" s="99" t="s">
        <v>8</v>
      </c>
      <c r="C52" s="15" t="s">
        <v>115</v>
      </c>
      <c r="D52" s="299">
        <v>254.65</v>
      </c>
      <c r="E52" s="332">
        <v>326.57</v>
      </c>
    </row>
    <row r="53" spans="2:5" ht="12.75" customHeight="1" thickBot="1">
      <c r="B53" s="100" t="s">
        <v>9</v>
      </c>
      <c r="C53" s="17" t="s">
        <v>41</v>
      </c>
      <c r="D53" s="297">
        <v>239.3</v>
      </c>
      <c r="E53" s="333">
        <v>310.05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281239.84000000003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281239.84000000003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281239.84000000003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281239.84000000003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9"/>
  <dimension ref="A1:F81"/>
  <sheetViews>
    <sheetView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14.25">
      <c r="B5" s="353" t="s">
        <v>1</v>
      </c>
      <c r="C5" s="353"/>
      <c r="D5" s="353"/>
      <c r="E5" s="353"/>
    </row>
    <row r="6" spans="2:5" ht="14.25">
      <c r="B6" s="354" t="s">
        <v>268</v>
      </c>
      <c r="C6" s="354"/>
      <c r="D6" s="354"/>
      <c r="E6" s="354"/>
    </row>
    <row r="7" spans="2:5" ht="14.25">
      <c r="B7" s="158"/>
      <c r="C7" s="158"/>
      <c r="D7" s="158"/>
      <c r="E7" s="158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59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9371.82</v>
      </c>
      <c r="E11" s="211">
        <f>SUM(E12:E14)</f>
        <v>9321.2000000000007</v>
      </c>
    </row>
    <row r="12" spans="2:5">
      <c r="B12" s="167" t="s">
        <v>4</v>
      </c>
      <c r="C12" s="168" t="s">
        <v>5</v>
      </c>
      <c r="D12" s="271">
        <v>9371.82</v>
      </c>
      <c r="E12" s="216">
        <v>9321.2000000000007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9371.82</v>
      </c>
      <c r="E21" s="145">
        <f>E11-E17</f>
        <v>9321.2000000000007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9889.2000000000007</v>
      </c>
      <c r="E26" s="206">
        <f>D21</f>
        <v>9371.82</v>
      </c>
    </row>
    <row r="27" spans="2:6">
      <c r="B27" s="9" t="s">
        <v>17</v>
      </c>
      <c r="C27" s="10" t="s">
        <v>111</v>
      </c>
      <c r="D27" s="285">
        <v>-112.44</v>
      </c>
      <c r="E27" s="240">
        <v>-107.68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112.44</v>
      </c>
      <c r="E32" s="241">
        <v>107.68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33.72</v>
      </c>
      <c r="E35" s="242">
        <v>28.45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78.72</v>
      </c>
      <c r="E37" s="242">
        <v>79.23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-481.47</v>
      </c>
      <c r="E40" s="245">
        <v>57.06</v>
      </c>
    </row>
    <row r="41" spans="2:6" ht="13.5" thickBot="1">
      <c r="B41" s="96" t="s">
        <v>37</v>
      </c>
      <c r="C41" s="97" t="s">
        <v>38</v>
      </c>
      <c r="D41" s="289">
        <v>9295.2900000000009</v>
      </c>
      <c r="E41" s="145">
        <f>E26+E27+E40</f>
        <v>9321.1999999999989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93.550299999999993</v>
      </c>
      <c r="E47" s="146">
        <v>91.245400000000004</v>
      </c>
    </row>
    <row r="48" spans="2:6">
      <c r="B48" s="180" t="s">
        <v>6</v>
      </c>
      <c r="C48" s="181" t="s">
        <v>41</v>
      </c>
      <c r="D48" s="299">
        <v>92.416899999999998</v>
      </c>
      <c r="E48" s="330">
        <v>90.199299999999994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178" t="s">
        <v>4</v>
      </c>
      <c r="C50" s="179" t="s">
        <v>40</v>
      </c>
      <c r="D50" s="299">
        <v>105.71</v>
      </c>
      <c r="E50" s="331">
        <v>102.71</v>
      </c>
    </row>
    <row r="51" spans="2:5">
      <c r="B51" s="178" t="s">
        <v>6</v>
      </c>
      <c r="C51" s="179" t="s">
        <v>114</v>
      </c>
      <c r="D51" s="299">
        <v>94.43</v>
      </c>
      <c r="E51" s="332">
        <v>100.89</v>
      </c>
    </row>
    <row r="52" spans="2:5">
      <c r="B52" s="178" t="s">
        <v>8</v>
      </c>
      <c r="C52" s="179" t="s">
        <v>115</v>
      </c>
      <c r="D52" s="299">
        <v>106.38</v>
      </c>
      <c r="E52" s="332">
        <v>103.63</v>
      </c>
    </row>
    <row r="53" spans="2:5" ht="13.5" thickBot="1">
      <c r="B53" s="182" t="s">
        <v>9</v>
      </c>
      <c r="C53" s="183" t="s">
        <v>41</v>
      </c>
      <c r="D53" s="297">
        <v>100.58</v>
      </c>
      <c r="E53" s="333">
        <v>103.34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9321.2000000000007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9321.2000000000007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9321.2000000000007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9321.2000000000007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0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14.25">
      <c r="B5" s="353" t="s">
        <v>1</v>
      </c>
      <c r="C5" s="353"/>
      <c r="D5" s="353"/>
      <c r="E5" s="353"/>
    </row>
    <row r="6" spans="2:5" ht="14.25">
      <c r="B6" s="354" t="s">
        <v>232</v>
      </c>
      <c r="C6" s="354"/>
      <c r="D6" s="354"/>
      <c r="E6" s="354"/>
    </row>
    <row r="7" spans="2:5" ht="14.25">
      <c r="B7" s="150"/>
      <c r="C7" s="150"/>
      <c r="D7" s="150"/>
      <c r="E7" s="150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51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45751.199999999997</v>
      </c>
      <c r="E11" s="211">
        <f>SUM(E12:E14)</f>
        <v>45757.21</v>
      </c>
    </row>
    <row r="12" spans="2:5">
      <c r="B12" s="167" t="s">
        <v>4</v>
      </c>
      <c r="C12" s="168" t="s">
        <v>5</v>
      </c>
      <c r="D12" s="271">
        <v>45751.199999999997</v>
      </c>
      <c r="E12" s="216">
        <v>45757.21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45751.199999999997</v>
      </c>
      <c r="E21" s="145">
        <f>E11-E17</f>
        <v>45757.21</v>
      </c>
      <c r="F21" s="74"/>
    </row>
    <row r="22" spans="2:6">
      <c r="B22" s="3"/>
      <c r="C22" s="7"/>
      <c r="D22" s="8"/>
      <c r="E22" s="204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93087.12</v>
      </c>
      <c r="E26" s="206">
        <f>D21</f>
        <v>45751.199999999997</v>
      </c>
    </row>
    <row r="27" spans="2:6">
      <c r="B27" s="9" t="s">
        <v>17</v>
      </c>
      <c r="C27" s="10" t="s">
        <v>111</v>
      </c>
      <c r="D27" s="285">
        <v>-967.06</v>
      </c>
      <c r="E27" s="240">
        <v>-272.66000000000003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967.06</v>
      </c>
      <c r="E32" s="241">
        <v>272.66000000000003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183.4</v>
      </c>
      <c r="E35" s="242">
        <v>91.33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783.66</v>
      </c>
      <c r="E37" s="242">
        <v>181.33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150.65</v>
      </c>
      <c r="E40" s="245">
        <v>278.67</v>
      </c>
    </row>
    <row r="41" spans="2:6" ht="13.5" thickBot="1">
      <c r="B41" s="96" t="s">
        <v>37</v>
      </c>
      <c r="C41" s="97" t="s">
        <v>38</v>
      </c>
      <c r="D41" s="289">
        <v>92270.709999999992</v>
      </c>
      <c r="E41" s="145">
        <f>E26+E27+E40</f>
        <v>45757.209999999992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358.0274</v>
      </c>
      <c r="E47" s="146">
        <v>172.4768</v>
      </c>
    </row>
    <row r="48" spans="2:6">
      <c r="B48" s="180" t="s">
        <v>6</v>
      </c>
      <c r="C48" s="181" t="s">
        <v>41</v>
      </c>
      <c r="D48" s="299">
        <v>354.2878</v>
      </c>
      <c r="E48" s="330">
        <v>171.4588</v>
      </c>
    </row>
    <row r="49" spans="2:5">
      <c r="B49" s="117" t="s">
        <v>23</v>
      </c>
      <c r="C49" s="121" t="s">
        <v>113</v>
      </c>
      <c r="D49" s="302"/>
      <c r="E49" s="331"/>
    </row>
    <row r="50" spans="2:5">
      <c r="B50" s="178" t="s">
        <v>4</v>
      </c>
      <c r="C50" s="179" t="s">
        <v>40</v>
      </c>
      <c r="D50" s="299">
        <v>260</v>
      </c>
      <c r="E50" s="331">
        <v>265.26</v>
      </c>
    </row>
    <row r="51" spans="2:5">
      <c r="B51" s="178" t="s">
        <v>6</v>
      </c>
      <c r="C51" s="179" t="s">
        <v>114</v>
      </c>
      <c r="D51" s="299">
        <v>254.9</v>
      </c>
      <c r="E51" s="332">
        <v>265.17</v>
      </c>
    </row>
    <row r="52" spans="2:5">
      <c r="B52" s="178" t="s">
        <v>8</v>
      </c>
      <c r="C52" s="179" t="s">
        <v>115</v>
      </c>
      <c r="D52" s="299">
        <v>261.66000000000003</v>
      </c>
      <c r="E52" s="332">
        <v>268.04000000000002</v>
      </c>
    </row>
    <row r="53" spans="2:5" ht="13.5" thickBot="1">
      <c r="B53" s="182" t="s">
        <v>9</v>
      </c>
      <c r="C53" s="183" t="s">
        <v>41</v>
      </c>
      <c r="D53" s="297">
        <v>260.44</v>
      </c>
      <c r="E53" s="333">
        <v>266.87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45757.21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45757.21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45757.21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45757.21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1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 customFormat="1">
      <c r="B1" s="1"/>
      <c r="C1" s="1"/>
      <c r="D1" s="2"/>
      <c r="E1" s="2"/>
    </row>
    <row r="2" spans="2:5" customFormat="1" ht="15.75">
      <c r="B2" s="352" t="s">
        <v>0</v>
      </c>
      <c r="C2" s="352"/>
      <c r="D2" s="352"/>
      <c r="E2" s="352"/>
    </row>
    <row r="3" spans="2:5" customFormat="1" ht="15.75">
      <c r="B3" s="352" t="s">
        <v>261</v>
      </c>
      <c r="C3" s="352"/>
      <c r="D3" s="352"/>
      <c r="E3" s="352"/>
    </row>
    <row r="4" spans="2:5" customFormat="1" ht="15">
      <c r="B4" s="144"/>
      <c r="C4" s="144"/>
      <c r="D4" s="144"/>
      <c r="E4" s="144"/>
    </row>
    <row r="5" spans="2:5" customFormat="1" ht="14.25">
      <c r="B5" s="353" t="s">
        <v>1</v>
      </c>
      <c r="C5" s="353"/>
      <c r="D5" s="353"/>
      <c r="E5" s="353"/>
    </row>
    <row r="6" spans="2:5" customFormat="1" ht="14.25" customHeight="1">
      <c r="B6" s="354" t="s">
        <v>173</v>
      </c>
      <c r="C6" s="354"/>
      <c r="D6" s="354"/>
      <c r="E6" s="354"/>
    </row>
    <row r="7" spans="2:5" customFormat="1" ht="14.25">
      <c r="B7" s="150"/>
      <c r="C7" s="150"/>
      <c r="D7" s="150"/>
      <c r="E7" s="150"/>
    </row>
    <row r="8" spans="2:5" customFormat="1" ht="13.5">
      <c r="B8" s="356" t="s">
        <v>18</v>
      </c>
      <c r="C8" s="358"/>
      <c r="D8" s="358"/>
      <c r="E8" s="358"/>
    </row>
    <row r="9" spans="2:5" customFormat="1" ht="16.5" thickBot="1">
      <c r="B9" s="355" t="s">
        <v>103</v>
      </c>
      <c r="C9" s="355"/>
      <c r="D9" s="355"/>
      <c r="E9" s="355"/>
    </row>
    <row r="10" spans="2:5" customFormat="1" ht="13.5" thickBot="1">
      <c r="B10" s="151"/>
      <c r="C10" s="73" t="s">
        <v>2</v>
      </c>
      <c r="D10" s="256" t="s">
        <v>255</v>
      </c>
      <c r="E10" s="223" t="s">
        <v>260</v>
      </c>
    </row>
    <row r="11" spans="2:5" customFormat="1">
      <c r="B11" s="87" t="s">
        <v>3</v>
      </c>
      <c r="C11" s="125" t="s">
        <v>109</v>
      </c>
      <c r="D11" s="270">
        <v>40895.61</v>
      </c>
      <c r="E11" s="211">
        <f>SUM(E12:E14)</f>
        <v>40358.769999999997</v>
      </c>
    </row>
    <row r="12" spans="2:5" customFormat="1">
      <c r="B12" s="167" t="s">
        <v>4</v>
      </c>
      <c r="C12" s="168" t="s">
        <v>5</v>
      </c>
      <c r="D12" s="271">
        <v>40895.61</v>
      </c>
      <c r="E12" s="216">
        <v>40358.769999999997</v>
      </c>
    </row>
    <row r="13" spans="2:5" customFormat="1">
      <c r="B13" s="167" t="s">
        <v>6</v>
      </c>
      <c r="C13" s="169" t="s">
        <v>7</v>
      </c>
      <c r="D13" s="272"/>
      <c r="E13" s="217"/>
    </row>
    <row r="14" spans="2:5" customFormat="1">
      <c r="B14" s="167" t="s">
        <v>8</v>
      </c>
      <c r="C14" s="169" t="s">
        <v>10</v>
      </c>
      <c r="D14" s="272"/>
      <c r="E14" s="217"/>
    </row>
    <row r="15" spans="2:5" customFormat="1">
      <c r="B15" s="167" t="s">
        <v>106</v>
      </c>
      <c r="C15" s="169" t="s">
        <v>11</v>
      </c>
      <c r="D15" s="272"/>
      <c r="E15" s="217"/>
    </row>
    <row r="16" spans="2:5" customFormat="1">
      <c r="B16" s="170" t="s">
        <v>107</v>
      </c>
      <c r="C16" s="171" t="s">
        <v>12</v>
      </c>
      <c r="D16" s="273"/>
      <c r="E16" s="218"/>
    </row>
    <row r="17" spans="2:6" customFormat="1">
      <c r="B17" s="9" t="s">
        <v>13</v>
      </c>
      <c r="C17" s="11" t="s">
        <v>65</v>
      </c>
      <c r="D17" s="274"/>
      <c r="E17" s="219"/>
    </row>
    <row r="18" spans="2:6" customFormat="1">
      <c r="B18" s="167" t="s">
        <v>4</v>
      </c>
      <c r="C18" s="168" t="s">
        <v>11</v>
      </c>
      <c r="D18" s="273"/>
      <c r="E18" s="218"/>
    </row>
    <row r="19" spans="2:6" customFormat="1" ht="15" customHeight="1">
      <c r="B19" s="167" t="s">
        <v>6</v>
      </c>
      <c r="C19" s="169" t="s">
        <v>108</v>
      </c>
      <c r="D19" s="272"/>
      <c r="E19" s="217"/>
    </row>
    <row r="20" spans="2:6" customFormat="1" ht="13.5" thickBot="1">
      <c r="B20" s="172" t="s">
        <v>8</v>
      </c>
      <c r="C20" s="173" t="s">
        <v>14</v>
      </c>
      <c r="D20" s="275"/>
      <c r="E20" s="212"/>
    </row>
    <row r="21" spans="2:6" customFormat="1" ht="13.5" thickBot="1">
      <c r="B21" s="362" t="s">
        <v>110</v>
      </c>
      <c r="C21" s="363"/>
      <c r="D21" s="276">
        <v>40895.61</v>
      </c>
      <c r="E21" s="145">
        <f>E11-E17</f>
        <v>40358.769999999997</v>
      </c>
      <c r="F21" s="74"/>
    </row>
    <row r="22" spans="2:6" customFormat="1">
      <c r="B22" s="3"/>
      <c r="C22" s="7"/>
      <c r="D22" s="8"/>
      <c r="E22" s="8"/>
    </row>
    <row r="23" spans="2:6" customFormat="1" ht="13.5">
      <c r="B23" s="356" t="s">
        <v>104</v>
      </c>
      <c r="C23" s="364"/>
      <c r="D23" s="364"/>
      <c r="E23" s="364"/>
    </row>
    <row r="24" spans="2:6" customFormat="1" ht="15.75" customHeight="1" thickBot="1">
      <c r="B24" s="355" t="s">
        <v>105</v>
      </c>
      <c r="C24" s="365"/>
      <c r="D24" s="365"/>
      <c r="E24" s="365"/>
    </row>
    <row r="25" spans="2:6" customFormat="1" ht="13.5" thickBot="1">
      <c r="B25" s="197"/>
      <c r="C25" s="174" t="s">
        <v>2</v>
      </c>
      <c r="D25" s="256" t="s">
        <v>262</v>
      </c>
      <c r="E25" s="223" t="s">
        <v>260</v>
      </c>
    </row>
    <row r="26" spans="2:6" customFormat="1">
      <c r="B26" s="92" t="s">
        <v>15</v>
      </c>
      <c r="C26" s="93" t="s">
        <v>16</v>
      </c>
      <c r="D26" s="284">
        <v>35508.89</v>
      </c>
      <c r="E26" s="206">
        <f>D21</f>
        <v>40895.61</v>
      </c>
    </row>
    <row r="27" spans="2:6" customFormat="1">
      <c r="B27" s="9" t="s">
        <v>17</v>
      </c>
      <c r="C27" s="10" t="s">
        <v>111</v>
      </c>
      <c r="D27" s="285">
        <v>-396.12</v>
      </c>
      <c r="E27" s="240">
        <v>-227.55</v>
      </c>
      <c r="F27" s="70"/>
    </row>
    <row r="28" spans="2:6" customFormat="1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 customFormat="1">
      <c r="B29" s="175" t="s">
        <v>4</v>
      </c>
      <c r="C29" s="168" t="s">
        <v>20</v>
      </c>
      <c r="D29" s="286"/>
      <c r="E29" s="242"/>
      <c r="F29" s="70"/>
    </row>
    <row r="30" spans="2:6" customFormat="1">
      <c r="B30" s="175" t="s">
        <v>6</v>
      </c>
      <c r="C30" s="168" t="s">
        <v>21</v>
      </c>
      <c r="D30" s="286"/>
      <c r="E30" s="242"/>
      <c r="F30" s="70"/>
    </row>
    <row r="31" spans="2:6" customFormat="1">
      <c r="B31" s="175" t="s">
        <v>8</v>
      </c>
      <c r="C31" s="168" t="s">
        <v>22</v>
      </c>
      <c r="D31" s="286"/>
      <c r="E31" s="242"/>
      <c r="F31" s="70"/>
    </row>
    <row r="32" spans="2:6" customFormat="1">
      <c r="B32" s="89" t="s">
        <v>23</v>
      </c>
      <c r="C32" s="11" t="s">
        <v>24</v>
      </c>
      <c r="D32" s="285">
        <v>396.12</v>
      </c>
      <c r="E32" s="241">
        <v>227.55</v>
      </c>
      <c r="F32" s="70"/>
    </row>
    <row r="33" spans="2:6" customFormat="1">
      <c r="B33" s="175" t="s">
        <v>4</v>
      </c>
      <c r="C33" s="168" t="s">
        <v>25</v>
      </c>
      <c r="D33" s="286"/>
      <c r="E33" s="242"/>
      <c r="F33" s="70"/>
    </row>
    <row r="34" spans="2:6" customFormat="1">
      <c r="B34" s="175" t="s">
        <v>6</v>
      </c>
      <c r="C34" s="168" t="s">
        <v>26</v>
      </c>
      <c r="D34" s="286"/>
      <c r="E34" s="242"/>
      <c r="F34" s="70"/>
    </row>
    <row r="35" spans="2:6" customFormat="1">
      <c r="B35" s="175" t="s">
        <v>8</v>
      </c>
      <c r="C35" s="168" t="s">
        <v>27</v>
      </c>
      <c r="D35" s="286">
        <v>85.9</v>
      </c>
      <c r="E35" s="242">
        <v>57.93</v>
      </c>
      <c r="F35" s="70"/>
    </row>
    <row r="36" spans="2:6" customFormat="1">
      <c r="B36" s="175" t="s">
        <v>9</v>
      </c>
      <c r="C36" s="168" t="s">
        <v>28</v>
      </c>
      <c r="D36" s="286"/>
      <c r="E36" s="242"/>
      <c r="F36" s="70"/>
    </row>
    <row r="37" spans="2:6" customFormat="1" ht="25.5">
      <c r="B37" s="175" t="s">
        <v>29</v>
      </c>
      <c r="C37" s="168" t="s">
        <v>30</v>
      </c>
      <c r="D37" s="286">
        <v>310.22000000000003</v>
      </c>
      <c r="E37" s="242">
        <v>169.62</v>
      </c>
      <c r="F37" s="70"/>
    </row>
    <row r="38" spans="2:6" customFormat="1">
      <c r="B38" s="175" t="s">
        <v>31</v>
      </c>
      <c r="C38" s="168" t="s">
        <v>32</v>
      </c>
      <c r="D38" s="286"/>
      <c r="E38" s="242"/>
      <c r="F38" s="70"/>
    </row>
    <row r="39" spans="2:6" customFormat="1">
      <c r="B39" s="176" t="s">
        <v>33</v>
      </c>
      <c r="C39" s="177" t="s">
        <v>34</v>
      </c>
      <c r="D39" s="287"/>
      <c r="E39" s="243"/>
      <c r="F39" s="70"/>
    </row>
    <row r="40" spans="2:6" customFormat="1" ht="13.5" thickBot="1">
      <c r="B40" s="94" t="s">
        <v>35</v>
      </c>
      <c r="C40" s="95" t="s">
        <v>36</v>
      </c>
      <c r="D40" s="288">
        <v>3148.63</v>
      </c>
      <c r="E40" s="245">
        <v>-309.29000000000002</v>
      </c>
    </row>
    <row r="41" spans="2:6" customFormat="1" ht="13.5" thickBot="1">
      <c r="B41" s="96" t="s">
        <v>37</v>
      </c>
      <c r="C41" s="97" t="s">
        <v>38</v>
      </c>
      <c r="D41" s="289">
        <v>38261.399999999994</v>
      </c>
      <c r="E41" s="145">
        <f>E26+E27+E40</f>
        <v>40358.769999999997</v>
      </c>
      <c r="F41" s="74"/>
    </row>
    <row r="42" spans="2:6" customFormat="1">
      <c r="B42" s="90"/>
      <c r="C42" s="90"/>
      <c r="D42" s="91"/>
      <c r="E42" s="91"/>
      <c r="F42" s="74"/>
    </row>
    <row r="43" spans="2:6" customFormat="1" ht="13.5">
      <c r="B43" s="357" t="s">
        <v>60</v>
      </c>
      <c r="C43" s="366"/>
      <c r="D43" s="366"/>
      <c r="E43" s="366"/>
    </row>
    <row r="44" spans="2:6" customFormat="1" ht="18" customHeight="1" thickBot="1">
      <c r="B44" s="355" t="s">
        <v>121</v>
      </c>
      <c r="C44" s="367"/>
      <c r="D44" s="367"/>
      <c r="E44" s="367"/>
    </row>
    <row r="45" spans="2:6" customFormat="1" ht="13.5" thickBot="1">
      <c r="B45" s="197"/>
      <c r="C45" s="29" t="s">
        <v>39</v>
      </c>
      <c r="D45" s="69" t="s">
        <v>262</v>
      </c>
      <c r="E45" s="223" t="s">
        <v>260</v>
      </c>
    </row>
    <row r="46" spans="2:6" customFormat="1">
      <c r="B46" s="13" t="s">
        <v>18</v>
      </c>
      <c r="C46" s="30" t="s">
        <v>112</v>
      </c>
      <c r="D46" s="98"/>
      <c r="E46" s="28"/>
    </row>
    <row r="47" spans="2:6" customFormat="1">
      <c r="B47" s="178" t="s">
        <v>4</v>
      </c>
      <c r="C47" s="179" t="s">
        <v>40</v>
      </c>
      <c r="D47" s="299">
        <v>924.71069999999997</v>
      </c>
      <c r="E47" s="146">
        <v>910.20719999999994</v>
      </c>
    </row>
    <row r="48" spans="2:6" customFormat="1">
      <c r="B48" s="180" t="s">
        <v>6</v>
      </c>
      <c r="C48" s="181" t="s">
        <v>41</v>
      </c>
      <c r="D48" s="299">
        <v>914.68809999999996</v>
      </c>
      <c r="E48" s="328">
        <v>905.10820000000001</v>
      </c>
    </row>
    <row r="49" spans="2:5" customFormat="1">
      <c r="B49" s="117" t="s">
        <v>23</v>
      </c>
      <c r="C49" s="121" t="s">
        <v>113</v>
      </c>
      <c r="D49" s="302"/>
      <c r="E49" s="337"/>
    </row>
    <row r="50" spans="2:5" customFormat="1">
      <c r="B50" s="178" t="s">
        <v>4</v>
      </c>
      <c r="C50" s="179" t="s">
        <v>40</v>
      </c>
      <c r="D50" s="299">
        <v>38.4</v>
      </c>
      <c r="E50" s="146">
        <v>44.93</v>
      </c>
    </row>
    <row r="51" spans="2:5" customFormat="1">
      <c r="B51" s="178" t="s">
        <v>6</v>
      </c>
      <c r="C51" s="179" t="s">
        <v>114</v>
      </c>
      <c r="D51" s="299">
        <v>34.79</v>
      </c>
      <c r="E51" s="72">
        <v>42.47</v>
      </c>
    </row>
    <row r="52" spans="2:5" customFormat="1">
      <c r="B52" s="178" t="s">
        <v>8</v>
      </c>
      <c r="C52" s="179" t="s">
        <v>115</v>
      </c>
      <c r="D52" s="299">
        <v>42.21</v>
      </c>
      <c r="E52" s="72">
        <v>45.87</v>
      </c>
    </row>
    <row r="53" spans="2:5" customFormat="1" ht="13.5" thickBot="1">
      <c r="B53" s="182" t="s">
        <v>9</v>
      </c>
      <c r="C53" s="183" t="s">
        <v>41</v>
      </c>
      <c r="D53" s="297">
        <v>41.83</v>
      </c>
      <c r="E53" s="333">
        <v>44.59</v>
      </c>
    </row>
    <row r="54" spans="2:5" customFormat="1">
      <c r="B54" s="106"/>
      <c r="C54" s="107"/>
      <c r="D54" s="108"/>
      <c r="E54" s="108"/>
    </row>
    <row r="55" spans="2:5" customFormat="1" ht="13.5">
      <c r="B55" s="357" t="s">
        <v>62</v>
      </c>
      <c r="C55" s="358"/>
      <c r="D55" s="358"/>
      <c r="E55" s="358"/>
    </row>
    <row r="56" spans="2:5" customFormat="1" ht="14.25" thickBot="1">
      <c r="B56" s="355" t="s">
        <v>116</v>
      </c>
      <c r="C56" s="359"/>
      <c r="D56" s="359"/>
      <c r="E56" s="359"/>
    </row>
    <row r="57" spans="2:5" customFormat="1" ht="23.25" thickBot="1">
      <c r="B57" s="350" t="s">
        <v>42</v>
      </c>
      <c r="C57" s="351"/>
      <c r="D57" s="18" t="s">
        <v>122</v>
      </c>
      <c r="E57" s="19" t="s">
        <v>117</v>
      </c>
    </row>
    <row r="58" spans="2:5" customFormat="1">
      <c r="B58" s="20" t="s">
        <v>18</v>
      </c>
      <c r="C58" s="123" t="s">
        <v>43</v>
      </c>
      <c r="D58" s="124">
        <f>D64</f>
        <v>40358.769999999997</v>
      </c>
      <c r="E58" s="31">
        <f>D58/E21</f>
        <v>1</v>
      </c>
    </row>
    <row r="59" spans="2:5" customFormat="1" ht="25.5">
      <c r="B59" s="120" t="s">
        <v>4</v>
      </c>
      <c r="C59" s="22" t="s">
        <v>44</v>
      </c>
      <c r="D59" s="77">
        <v>0</v>
      </c>
      <c r="E59" s="78">
        <v>0</v>
      </c>
    </row>
    <row r="60" spans="2:5" customFormat="1" ht="25.5">
      <c r="B60" s="99" t="s">
        <v>6</v>
      </c>
      <c r="C60" s="15" t="s">
        <v>45</v>
      </c>
      <c r="D60" s="75">
        <v>0</v>
      </c>
      <c r="E60" s="76">
        <v>0</v>
      </c>
    </row>
    <row r="61" spans="2:5" customFormat="1">
      <c r="B61" s="99" t="s">
        <v>8</v>
      </c>
      <c r="C61" s="15" t="s">
        <v>46</v>
      </c>
      <c r="D61" s="75">
        <v>0</v>
      </c>
      <c r="E61" s="76">
        <v>0</v>
      </c>
    </row>
    <row r="62" spans="2:5" customFormat="1">
      <c r="B62" s="99" t="s">
        <v>9</v>
      </c>
      <c r="C62" s="15" t="s">
        <v>47</v>
      </c>
      <c r="D62" s="75">
        <v>0</v>
      </c>
      <c r="E62" s="76">
        <v>0</v>
      </c>
    </row>
    <row r="63" spans="2:5" customFormat="1">
      <c r="B63" s="99" t="s">
        <v>29</v>
      </c>
      <c r="C63" s="15" t="s">
        <v>48</v>
      </c>
      <c r="D63" s="75">
        <v>0</v>
      </c>
      <c r="E63" s="76">
        <v>0</v>
      </c>
    </row>
    <row r="64" spans="2:5" customFormat="1">
      <c r="B64" s="120" t="s">
        <v>31</v>
      </c>
      <c r="C64" s="22" t="s">
        <v>49</v>
      </c>
      <c r="D64" s="77">
        <f>E21</f>
        <v>40358.769999999997</v>
      </c>
      <c r="E64" s="78">
        <f>E58</f>
        <v>1</v>
      </c>
    </row>
    <row r="65" spans="2:5" customFormat="1">
      <c r="B65" s="120" t="s">
        <v>33</v>
      </c>
      <c r="C65" s="22" t="s">
        <v>118</v>
      </c>
      <c r="D65" s="77">
        <v>0</v>
      </c>
      <c r="E65" s="78">
        <v>0</v>
      </c>
    </row>
    <row r="66" spans="2:5" customFormat="1">
      <c r="B66" s="120" t="s">
        <v>50</v>
      </c>
      <c r="C66" s="22" t="s">
        <v>51</v>
      </c>
      <c r="D66" s="77">
        <v>0</v>
      </c>
      <c r="E66" s="78">
        <v>0</v>
      </c>
    </row>
    <row r="67" spans="2:5" customFormat="1">
      <c r="B67" s="99" t="s">
        <v>52</v>
      </c>
      <c r="C67" s="15" t="s">
        <v>53</v>
      </c>
      <c r="D67" s="75">
        <v>0</v>
      </c>
      <c r="E67" s="76">
        <v>0</v>
      </c>
    </row>
    <row r="68" spans="2:5" customFormat="1">
      <c r="B68" s="99" t="s">
        <v>54</v>
      </c>
      <c r="C68" s="15" t="s">
        <v>55</v>
      </c>
      <c r="D68" s="75">
        <v>0</v>
      </c>
      <c r="E68" s="76">
        <v>0</v>
      </c>
    </row>
    <row r="69" spans="2:5" customFormat="1">
      <c r="B69" s="99" t="s">
        <v>56</v>
      </c>
      <c r="C69" s="15" t="s">
        <v>57</v>
      </c>
      <c r="D69" s="213">
        <v>0</v>
      </c>
      <c r="E69" s="76">
        <v>0</v>
      </c>
    </row>
    <row r="70" spans="2:5" customFormat="1">
      <c r="B70" s="126" t="s">
        <v>58</v>
      </c>
      <c r="C70" s="110" t="s">
        <v>59</v>
      </c>
      <c r="D70" s="111">
        <v>0</v>
      </c>
      <c r="E70" s="112">
        <v>0</v>
      </c>
    </row>
    <row r="71" spans="2:5" customFormat="1">
      <c r="B71" s="127" t="s">
        <v>23</v>
      </c>
      <c r="C71" s="118" t="s">
        <v>61</v>
      </c>
      <c r="D71" s="119">
        <v>0</v>
      </c>
      <c r="E71" s="65">
        <v>0</v>
      </c>
    </row>
    <row r="72" spans="2:5" customFormat="1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 customFormat="1">
      <c r="B73" s="129" t="s">
        <v>62</v>
      </c>
      <c r="C73" s="24" t="s">
        <v>65</v>
      </c>
      <c r="D73" s="25">
        <v>0</v>
      </c>
      <c r="E73" s="26">
        <v>0</v>
      </c>
    </row>
    <row r="74" spans="2:5" customFormat="1">
      <c r="B74" s="127" t="s">
        <v>64</v>
      </c>
      <c r="C74" s="118" t="s">
        <v>66</v>
      </c>
      <c r="D74" s="119">
        <f>D58</f>
        <v>40358.769999999997</v>
      </c>
      <c r="E74" s="65">
        <f>E58+E72-E73</f>
        <v>1</v>
      </c>
    </row>
    <row r="75" spans="2:5" customFormat="1">
      <c r="B75" s="99" t="s">
        <v>4</v>
      </c>
      <c r="C75" s="15" t="s">
        <v>67</v>
      </c>
      <c r="D75" s="75">
        <f>D74</f>
        <v>40358.769999999997</v>
      </c>
      <c r="E75" s="76">
        <f>E74</f>
        <v>1</v>
      </c>
    </row>
    <row r="76" spans="2:5" customFormat="1">
      <c r="B76" s="99" t="s">
        <v>6</v>
      </c>
      <c r="C76" s="15" t="s">
        <v>119</v>
      </c>
      <c r="D76" s="75">
        <v>0</v>
      </c>
      <c r="E76" s="76">
        <v>0</v>
      </c>
    </row>
    <row r="77" spans="2:5" customFormat="1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 customFormat="1">
      <c r="B78" s="1"/>
      <c r="C78" s="1"/>
      <c r="D78" s="2"/>
      <c r="E78" s="2"/>
    </row>
    <row r="79" spans="2:5" customFormat="1">
      <c r="B79" s="1"/>
      <c r="C79" s="1"/>
      <c r="D79" s="2"/>
      <c r="E79" s="2"/>
    </row>
    <row r="80" spans="2:5" customFormat="1">
      <c r="B80" s="1"/>
      <c r="C80" s="1"/>
      <c r="D80" s="2"/>
      <c r="E80" s="2"/>
    </row>
    <row r="81" spans="2:5" customFormat="1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3">
    <pageSetUpPr fitToPage="1"/>
  </sheetPr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1"/>
      <c r="C4" s="131"/>
      <c r="D4" s="131"/>
      <c r="E4" s="13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250</v>
      </c>
      <c r="C6" s="354"/>
      <c r="D6" s="354"/>
      <c r="E6" s="354"/>
    </row>
    <row r="7" spans="2:5" ht="14.25">
      <c r="B7" s="130"/>
      <c r="C7" s="130"/>
      <c r="D7" s="130"/>
      <c r="E7" s="130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2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682369.39</v>
      </c>
      <c r="E11" s="211">
        <f>SUM(E12:E14)</f>
        <v>810374.28</v>
      </c>
    </row>
    <row r="12" spans="2:5">
      <c r="B12" s="167" t="s">
        <v>4</v>
      </c>
      <c r="C12" s="168" t="s">
        <v>5</v>
      </c>
      <c r="D12" s="271">
        <v>682369.39</v>
      </c>
      <c r="E12" s="216">
        <v>810374.28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682369.39</v>
      </c>
      <c r="E21" s="145">
        <f>E11-E17</f>
        <v>810374.28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1479329.6</v>
      </c>
      <c r="E26" s="206">
        <f>D21</f>
        <v>682369.39</v>
      </c>
    </row>
    <row r="27" spans="2:6">
      <c r="B27" s="9" t="s">
        <v>17</v>
      </c>
      <c r="C27" s="10" t="s">
        <v>111</v>
      </c>
      <c r="D27" s="285">
        <v>-818696.4</v>
      </c>
      <c r="E27" s="240">
        <v>76571.95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100083.69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>
        <v>100083.69</v>
      </c>
      <c r="F31" s="70"/>
    </row>
    <row r="32" spans="2:6">
      <c r="B32" s="89" t="s">
        <v>23</v>
      </c>
      <c r="C32" s="11" t="s">
        <v>24</v>
      </c>
      <c r="D32" s="285">
        <v>818696.4</v>
      </c>
      <c r="E32" s="241">
        <v>23511.739999999998</v>
      </c>
      <c r="F32" s="70"/>
    </row>
    <row r="33" spans="2:6">
      <c r="B33" s="175" t="s">
        <v>4</v>
      </c>
      <c r="C33" s="168" t="s">
        <v>25</v>
      </c>
      <c r="D33" s="286">
        <v>118595.23</v>
      </c>
      <c r="E33" s="242">
        <v>15812.92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1824.78</v>
      </c>
      <c r="E35" s="242">
        <v>1201.99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7452.03</v>
      </c>
      <c r="E37" s="242">
        <v>6496.83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690824.36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-98356.49</v>
      </c>
      <c r="E40" s="245">
        <v>51432.94</v>
      </c>
    </row>
    <row r="41" spans="2:6" ht="13.5" thickBot="1">
      <c r="B41" s="96" t="s">
        <v>37</v>
      </c>
      <c r="C41" s="97" t="s">
        <v>38</v>
      </c>
      <c r="D41" s="289">
        <v>562276.71000000008</v>
      </c>
      <c r="E41" s="145">
        <f>E26+E27+E40</f>
        <v>810374.28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2653.5059999999999</v>
      </c>
      <c r="E47" s="146">
        <v>1062.037</v>
      </c>
    </row>
    <row r="48" spans="2:6">
      <c r="B48" s="180" t="s">
        <v>6</v>
      </c>
      <c r="C48" s="181" t="s">
        <v>41</v>
      </c>
      <c r="D48" s="299">
        <v>1098.54</v>
      </c>
      <c r="E48" s="146">
        <v>1182.4929999999999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557.5</v>
      </c>
      <c r="E50" s="146">
        <v>642.51</v>
      </c>
    </row>
    <row r="51" spans="2:5">
      <c r="B51" s="178" t="s">
        <v>6</v>
      </c>
      <c r="C51" s="179" t="s">
        <v>114</v>
      </c>
      <c r="D51" s="299">
        <v>423.15</v>
      </c>
      <c r="E51" s="72">
        <v>639.49</v>
      </c>
    </row>
    <row r="52" spans="2:5">
      <c r="B52" s="178" t="s">
        <v>8</v>
      </c>
      <c r="C52" s="179" t="s">
        <v>115</v>
      </c>
      <c r="D52" s="299">
        <v>579.08000000000004</v>
      </c>
      <c r="E52" s="72">
        <v>735.7</v>
      </c>
    </row>
    <row r="53" spans="2:5" ht="12.75" customHeight="1" thickBot="1">
      <c r="B53" s="182" t="s">
        <v>9</v>
      </c>
      <c r="C53" s="183" t="s">
        <v>41</v>
      </c>
      <c r="D53" s="297">
        <v>511.84</v>
      </c>
      <c r="E53" s="246">
        <v>685.31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810374.28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810374.28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810374.28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810374.28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5118110236220474" bottom="0.6692913385826772" header="0.51181102362204722" footer="0.51181102362204722"/>
  <pageSetup paperSize="9" scale="68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4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1"/>
      <c r="C4" s="131"/>
      <c r="D4" s="131"/>
      <c r="E4" s="13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174</v>
      </c>
      <c r="C6" s="354"/>
      <c r="D6" s="354"/>
      <c r="E6" s="354"/>
    </row>
    <row r="7" spans="2:5" ht="14.25">
      <c r="B7" s="130"/>
      <c r="C7" s="130"/>
      <c r="D7" s="130"/>
      <c r="E7" s="130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2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10070311.060000001</v>
      </c>
      <c r="E11" s="211">
        <f>SUM(E12:E14)</f>
        <v>10601089.99</v>
      </c>
    </row>
    <row r="12" spans="2:5">
      <c r="B12" s="167" t="s">
        <v>4</v>
      </c>
      <c r="C12" s="168" t="s">
        <v>5</v>
      </c>
      <c r="D12" s="271">
        <v>10070311.060000001</v>
      </c>
      <c r="E12" s="216">
        <v>10601089.99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10070311.060000001</v>
      </c>
      <c r="E21" s="145">
        <f>E11-E17</f>
        <v>10601089.99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13263622.92</v>
      </c>
      <c r="E26" s="206">
        <f>D21</f>
        <v>10070311.060000001</v>
      </c>
    </row>
    <row r="27" spans="2:6">
      <c r="B27" s="9" t="s">
        <v>17</v>
      </c>
      <c r="C27" s="10" t="s">
        <v>111</v>
      </c>
      <c r="D27" s="285">
        <v>-4289563.92</v>
      </c>
      <c r="E27" s="240">
        <v>-189897.02</v>
      </c>
      <c r="F27" s="70"/>
    </row>
    <row r="28" spans="2:6">
      <c r="B28" s="9" t="s">
        <v>18</v>
      </c>
      <c r="C28" s="10" t="s">
        <v>19</v>
      </c>
      <c r="D28" s="285">
        <v>26622.13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26622.13</v>
      </c>
      <c r="E31" s="242"/>
      <c r="F31" s="70"/>
    </row>
    <row r="32" spans="2:6">
      <c r="B32" s="89" t="s">
        <v>23</v>
      </c>
      <c r="C32" s="11" t="s">
        <v>24</v>
      </c>
      <c r="D32" s="285">
        <v>4316186.05</v>
      </c>
      <c r="E32" s="241">
        <v>189897.02</v>
      </c>
      <c r="F32" s="70"/>
    </row>
    <row r="33" spans="2:6">
      <c r="B33" s="175" t="s">
        <v>4</v>
      </c>
      <c r="C33" s="168" t="s">
        <v>25</v>
      </c>
      <c r="D33" s="286">
        <v>4225286.07</v>
      </c>
      <c r="E33" s="242">
        <v>89194.54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4023.55</v>
      </c>
      <c r="E35" s="242">
        <v>1366.83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86876.43</v>
      </c>
      <c r="E37" s="242">
        <v>81634.09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17701.560000000001</v>
      </c>
      <c r="F39" s="70"/>
    </row>
    <row r="40" spans="2:6" ht="13.5" thickBot="1">
      <c r="B40" s="94" t="s">
        <v>35</v>
      </c>
      <c r="C40" s="95" t="s">
        <v>36</v>
      </c>
      <c r="D40" s="288">
        <v>221922.13</v>
      </c>
      <c r="E40" s="245">
        <v>720675.95</v>
      </c>
    </row>
    <row r="41" spans="2:6" ht="13.5" thickBot="1">
      <c r="B41" s="96" t="s">
        <v>37</v>
      </c>
      <c r="C41" s="97" t="s">
        <v>38</v>
      </c>
      <c r="D41" s="289">
        <v>9195981.1300000008</v>
      </c>
      <c r="E41" s="145">
        <f>E26+E27+E40</f>
        <v>10601089.99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29204.093000000001</v>
      </c>
      <c r="E47" s="146">
        <v>18475.261999999999</v>
      </c>
    </row>
    <row r="48" spans="2:6">
      <c r="B48" s="180" t="s">
        <v>6</v>
      </c>
      <c r="C48" s="181" t="s">
        <v>41</v>
      </c>
      <c r="D48" s="299">
        <v>19277.574000000001</v>
      </c>
      <c r="E48" s="146">
        <v>18028.758000000002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454.17</v>
      </c>
      <c r="E50" s="146">
        <v>545.07000000000005</v>
      </c>
    </row>
    <row r="51" spans="2:5">
      <c r="B51" s="178" t="s">
        <v>6</v>
      </c>
      <c r="C51" s="179" t="s">
        <v>114</v>
      </c>
      <c r="D51" s="299">
        <v>353.41</v>
      </c>
      <c r="E51" s="72">
        <v>525.1</v>
      </c>
    </row>
    <row r="52" spans="2:5">
      <c r="B52" s="178" t="s">
        <v>8</v>
      </c>
      <c r="C52" s="179" t="s">
        <v>115</v>
      </c>
      <c r="D52" s="299">
        <v>489.06</v>
      </c>
      <c r="E52" s="72">
        <v>591.72</v>
      </c>
    </row>
    <row r="53" spans="2:5" ht="14.25" customHeight="1" thickBot="1">
      <c r="B53" s="182" t="s">
        <v>9</v>
      </c>
      <c r="C53" s="183" t="s">
        <v>41</v>
      </c>
      <c r="D53" s="297">
        <v>477.03</v>
      </c>
      <c r="E53" s="246">
        <v>588.01</v>
      </c>
    </row>
    <row r="54" spans="2:5">
      <c r="B54" s="106"/>
      <c r="C54" s="107"/>
      <c r="D54" s="108"/>
      <c r="E54" s="193"/>
    </row>
    <row r="55" spans="2:5" ht="13.5">
      <c r="B55" s="357" t="s">
        <v>62</v>
      </c>
      <c r="C55" s="358"/>
      <c r="D55" s="358"/>
      <c r="E55" s="358"/>
    </row>
    <row r="56" spans="2:5" ht="18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10601089.99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10601089.99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10601089.99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10601089.99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5"/>
  <dimension ref="A1:F81"/>
  <sheetViews>
    <sheetView topLeftCell="A19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1"/>
      <c r="C4" s="131"/>
      <c r="D4" s="131"/>
      <c r="E4" s="13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175</v>
      </c>
      <c r="C6" s="354"/>
      <c r="D6" s="354"/>
      <c r="E6" s="354"/>
    </row>
    <row r="7" spans="2:5" ht="14.25">
      <c r="B7" s="130"/>
      <c r="C7" s="130"/>
      <c r="D7" s="130"/>
      <c r="E7" s="130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2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114726.67</v>
      </c>
      <c r="E11" s="211">
        <f>SUM(E12:E14)</f>
        <v>68397.91</v>
      </c>
    </row>
    <row r="12" spans="2:5">
      <c r="B12" s="167" t="s">
        <v>4</v>
      </c>
      <c r="C12" s="168" t="s">
        <v>5</v>
      </c>
      <c r="D12" s="271">
        <v>114726.67</v>
      </c>
      <c r="E12" s="216">
        <v>68397.91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114726.67</v>
      </c>
      <c r="E21" s="145">
        <f>E11-E17</f>
        <v>68397.91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113347.15</v>
      </c>
      <c r="E26" s="206">
        <f>D21</f>
        <v>114726.67</v>
      </c>
    </row>
    <row r="27" spans="2:6">
      <c r="B27" s="9" t="s">
        <v>17</v>
      </c>
      <c r="C27" s="10" t="s">
        <v>111</v>
      </c>
      <c r="D27" s="285">
        <v>-2054.73</v>
      </c>
      <c r="E27" s="240">
        <v>-46194.92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2054.73</v>
      </c>
      <c r="E32" s="241">
        <v>46194.92</v>
      </c>
      <c r="F32" s="70"/>
    </row>
    <row r="33" spans="2:6">
      <c r="B33" s="175" t="s">
        <v>4</v>
      </c>
      <c r="C33" s="168" t="s">
        <v>25</v>
      </c>
      <c r="D33" s="286"/>
      <c r="E33" s="242">
        <v>45501.599999999999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1167.73</v>
      </c>
      <c r="E35" s="242">
        <v>41.59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887</v>
      </c>
      <c r="E37" s="242">
        <v>651.73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520.9</v>
      </c>
      <c r="E40" s="245">
        <v>-133.84</v>
      </c>
    </row>
    <row r="41" spans="2:6" ht="13.5" thickBot="1">
      <c r="B41" s="96" t="s">
        <v>37</v>
      </c>
      <c r="C41" s="97" t="s">
        <v>38</v>
      </c>
      <c r="D41" s="289">
        <v>111813.31999999999</v>
      </c>
      <c r="E41" s="145">
        <f>E26+E27+E40</f>
        <v>68397.91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266.36700000000002</v>
      </c>
      <c r="E47" s="146">
        <v>258.96499999999997</v>
      </c>
    </row>
    <row r="48" spans="2:6">
      <c r="B48" s="180" t="s">
        <v>6</v>
      </c>
      <c r="C48" s="181" t="s">
        <v>41</v>
      </c>
      <c r="D48" s="299">
        <v>261.46600000000001</v>
      </c>
      <c r="E48" s="146">
        <v>154.84100000000001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425.53</v>
      </c>
      <c r="E50" s="146">
        <v>443.02</v>
      </c>
    </row>
    <row r="51" spans="2:5">
      <c r="B51" s="178" t="s">
        <v>6</v>
      </c>
      <c r="C51" s="179" t="s">
        <v>114</v>
      </c>
      <c r="D51" s="299">
        <v>402.71</v>
      </c>
      <c r="E51" s="72" t="s">
        <v>269</v>
      </c>
    </row>
    <row r="52" spans="2:5">
      <c r="B52" s="178" t="s">
        <v>8</v>
      </c>
      <c r="C52" s="179" t="s">
        <v>115</v>
      </c>
      <c r="D52" s="299">
        <v>429.79</v>
      </c>
      <c r="E52" s="72">
        <v>445.25</v>
      </c>
    </row>
    <row r="53" spans="2:5" ht="13.5" customHeight="1" thickBot="1">
      <c r="B53" s="182" t="s">
        <v>9</v>
      </c>
      <c r="C53" s="183" t="s">
        <v>41</v>
      </c>
      <c r="D53" s="297">
        <v>427.64</v>
      </c>
      <c r="E53" s="246">
        <v>441.73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68397.91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68397.91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68397.91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68397.91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horizontalDpi="90" verticalDpi="9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249</v>
      </c>
      <c r="C6" s="354"/>
      <c r="D6" s="354"/>
      <c r="E6" s="354"/>
    </row>
    <row r="7" spans="2:5" ht="14.25">
      <c r="B7" s="196"/>
      <c r="C7" s="196"/>
      <c r="D7" s="196"/>
      <c r="E7" s="19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95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15496.84</v>
      </c>
      <c r="E11" s="211" t="s">
        <v>123</v>
      </c>
    </row>
    <row r="12" spans="2:5">
      <c r="B12" s="167" t="s">
        <v>4</v>
      </c>
      <c r="C12" s="168" t="s">
        <v>5</v>
      </c>
      <c r="D12" s="271">
        <v>15496.84</v>
      </c>
      <c r="E12" s="216"/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15496.84</v>
      </c>
      <c r="E21" s="145"/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50099.44</v>
      </c>
      <c r="E26" s="206">
        <f>D21</f>
        <v>15496.84</v>
      </c>
    </row>
    <row r="27" spans="2:6">
      <c r="B27" s="9" t="s">
        <v>17</v>
      </c>
      <c r="C27" s="10" t="s">
        <v>111</v>
      </c>
      <c r="D27" s="285">
        <v>-522.41</v>
      </c>
      <c r="E27" s="240">
        <v>-15924.83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522.41000000000008</v>
      </c>
      <c r="E32" s="241">
        <v>15924.83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178</v>
      </c>
      <c r="E35" s="242">
        <v>315.16000000000003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344.41</v>
      </c>
      <c r="E37" s="242">
        <v>207.98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15401.69</v>
      </c>
      <c r="F39" s="70"/>
    </row>
    <row r="40" spans="2:6" ht="13.5" thickBot="1">
      <c r="B40" s="94" t="s">
        <v>35</v>
      </c>
      <c r="C40" s="95" t="s">
        <v>36</v>
      </c>
      <c r="D40" s="288">
        <v>1984.79</v>
      </c>
      <c r="E40" s="245">
        <v>427.99</v>
      </c>
    </row>
    <row r="41" spans="2:6" ht="13.5" thickBot="1">
      <c r="B41" s="96" t="s">
        <v>37</v>
      </c>
      <c r="C41" s="97" t="s">
        <v>38</v>
      </c>
      <c r="D41" s="289">
        <v>51561.82</v>
      </c>
      <c r="E41" s="145">
        <f>E26+E27+E40</f>
        <v>0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45.19</v>
      </c>
      <c r="E47" s="146">
        <v>12.471</v>
      </c>
    </row>
    <row r="48" spans="2:6">
      <c r="B48" s="180" t="s">
        <v>6</v>
      </c>
      <c r="C48" s="181" t="s">
        <v>41</v>
      </c>
      <c r="D48" s="299">
        <v>44.735999999999997</v>
      </c>
      <c r="E48" s="349" t="s">
        <v>123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1108.6400000000001</v>
      </c>
      <c r="E50" s="146">
        <v>1242.6300000000001</v>
      </c>
    </row>
    <row r="51" spans="2:5">
      <c r="B51" s="178" t="s">
        <v>6</v>
      </c>
      <c r="C51" s="179" t="s">
        <v>114</v>
      </c>
      <c r="D51" s="299">
        <v>1108.6400000000001</v>
      </c>
      <c r="E51" s="300">
        <v>1230.56</v>
      </c>
    </row>
    <row r="52" spans="2:5">
      <c r="B52" s="178" t="s">
        <v>8</v>
      </c>
      <c r="C52" s="179" t="s">
        <v>115</v>
      </c>
      <c r="D52" s="299">
        <v>1183.6300000000001</v>
      </c>
      <c r="E52" s="300">
        <v>1290.42</v>
      </c>
    </row>
    <row r="53" spans="2:5" ht="13.5" customHeight="1" thickBot="1">
      <c r="B53" s="182" t="s">
        <v>9</v>
      </c>
      <c r="C53" s="183" t="s">
        <v>41</v>
      </c>
      <c r="D53" s="297">
        <v>1152.58</v>
      </c>
      <c r="E53" s="258" t="s">
        <v>123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0</v>
      </c>
      <c r="E58" s="31" t="e">
        <f>D58/E21</f>
        <v>#DIV/0!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0</v>
      </c>
      <c r="E64" s="78" t="e">
        <f>E58</f>
        <v>#DIV/0!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0</v>
      </c>
      <c r="E74" s="65" t="e">
        <f>E58+E72-E73</f>
        <v>#DIV/0!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0</v>
      </c>
      <c r="E76" s="76" t="e">
        <f>E74</f>
        <v>#DIV/0!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6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1"/>
      <c r="C4" s="131"/>
      <c r="D4" s="131"/>
      <c r="E4" s="13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176</v>
      </c>
      <c r="C6" s="354"/>
      <c r="D6" s="354"/>
      <c r="E6" s="354"/>
    </row>
    <row r="7" spans="2:5" ht="14.25">
      <c r="B7" s="130"/>
      <c r="C7" s="130"/>
      <c r="D7" s="130"/>
      <c r="E7" s="130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2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150999.05000000002</v>
      </c>
      <c r="E11" s="211">
        <f>SUM(E12:E14)</f>
        <v>167898.08</v>
      </c>
    </row>
    <row r="12" spans="2:5">
      <c r="B12" s="167" t="s">
        <v>4</v>
      </c>
      <c r="C12" s="168" t="s">
        <v>5</v>
      </c>
      <c r="D12" s="271">
        <v>150999.05000000002</v>
      </c>
      <c r="E12" s="216">
        <v>167898.08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150999.05000000002</v>
      </c>
      <c r="E21" s="145">
        <f>E11-E17</f>
        <v>167898.08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188189.18</v>
      </c>
      <c r="E26" s="206">
        <f>D21</f>
        <v>150999.05000000002</v>
      </c>
    </row>
    <row r="27" spans="2:6">
      <c r="B27" s="9" t="s">
        <v>17</v>
      </c>
      <c r="C27" s="10" t="s">
        <v>111</v>
      </c>
      <c r="D27" s="285">
        <v>-48081.24</v>
      </c>
      <c r="E27" s="240">
        <v>2788.06</v>
      </c>
      <c r="F27" s="70"/>
    </row>
    <row r="28" spans="2:6">
      <c r="B28" s="9" t="s">
        <v>18</v>
      </c>
      <c r="C28" s="10" t="s">
        <v>19</v>
      </c>
      <c r="D28" s="285">
        <v>3703.54</v>
      </c>
      <c r="E28" s="241">
        <v>12623.16</v>
      </c>
      <c r="F28" s="70"/>
    </row>
    <row r="29" spans="2:6">
      <c r="B29" s="175" t="s">
        <v>4</v>
      </c>
      <c r="C29" s="168" t="s">
        <v>20</v>
      </c>
      <c r="D29" s="286">
        <v>3703.54</v>
      </c>
      <c r="E29" s="242">
        <v>3637.16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>
        <v>8986</v>
      </c>
      <c r="F31" s="70"/>
    </row>
    <row r="32" spans="2:6">
      <c r="B32" s="89" t="s">
        <v>23</v>
      </c>
      <c r="C32" s="11" t="s">
        <v>24</v>
      </c>
      <c r="D32" s="285">
        <v>51784.78</v>
      </c>
      <c r="E32" s="241">
        <v>9835.1</v>
      </c>
      <c r="F32" s="70"/>
    </row>
    <row r="33" spans="2:6">
      <c r="B33" s="175" t="s">
        <v>4</v>
      </c>
      <c r="C33" s="168" t="s">
        <v>25</v>
      </c>
      <c r="D33" s="286">
        <v>23610.959999999999</v>
      </c>
      <c r="E33" s="242">
        <v>4351.7000000000007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402.03</v>
      </c>
      <c r="E35" s="242">
        <v>386.8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1292.23</v>
      </c>
      <c r="E37" s="242">
        <v>1238.6300000000001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26479.56</v>
      </c>
      <c r="E39" s="243">
        <v>3857.97</v>
      </c>
      <c r="F39" s="70"/>
    </row>
    <row r="40" spans="2:6" ht="13.5" thickBot="1">
      <c r="B40" s="94" t="s">
        <v>35</v>
      </c>
      <c r="C40" s="95" t="s">
        <v>36</v>
      </c>
      <c r="D40" s="288">
        <v>-23474.99</v>
      </c>
      <c r="E40" s="245">
        <v>14110.97</v>
      </c>
    </row>
    <row r="41" spans="2:6" ht="13.5" thickBot="1">
      <c r="B41" s="96" t="s">
        <v>37</v>
      </c>
      <c r="C41" s="97" t="s">
        <v>38</v>
      </c>
      <c r="D41" s="289">
        <v>116632.95</v>
      </c>
      <c r="E41" s="145">
        <f>E26+E27+E40</f>
        <v>167898.08000000002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538.46799999999996</v>
      </c>
      <c r="E47" s="146">
        <v>402.83600000000001</v>
      </c>
    </row>
    <row r="48" spans="2:6">
      <c r="B48" s="180" t="s">
        <v>6</v>
      </c>
      <c r="C48" s="181" t="s">
        <v>41</v>
      </c>
      <c r="D48" s="299">
        <v>375.43599999999998</v>
      </c>
      <c r="E48" s="146">
        <v>410.25799999999998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349.49</v>
      </c>
      <c r="E50" s="146">
        <v>374.84</v>
      </c>
    </row>
    <row r="51" spans="2:5">
      <c r="B51" s="178" t="s">
        <v>6</v>
      </c>
      <c r="C51" s="179" t="s">
        <v>114</v>
      </c>
      <c r="D51" s="299">
        <v>240.91</v>
      </c>
      <c r="E51" s="146">
        <v>374.84</v>
      </c>
    </row>
    <row r="52" spans="2:5">
      <c r="B52" s="178" t="s">
        <v>8</v>
      </c>
      <c r="C52" s="179" t="s">
        <v>115</v>
      </c>
      <c r="D52" s="299">
        <v>360.2</v>
      </c>
      <c r="E52" s="72">
        <v>412.27</v>
      </c>
    </row>
    <row r="53" spans="2:5" ht="13.5" customHeight="1" thickBot="1">
      <c r="B53" s="182" t="s">
        <v>9</v>
      </c>
      <c r="C53" s="183" t="s">
        <v>41</v>
      </c>
      <c r="D53" s="297">
        <v>310.66000000000003</v>
      </c>
      <c r="E53" s="246">
        <v>409.25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167898.08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167898.08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167898.08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167898.08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7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1"/>
      <c r="C4" s="131"/>
      <c r="D4" s="131"/>
      <c r="E4" s="131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177</v>
      </c>
      <c r="C6" s="354"/>
      <c r="D6" s="354"/>
      <c r="E6" s="354"/>
    </row>
    <row r="7" spans="2:5" ht="14.25">
      <c r="B7" s="130"/>
      <c r="C7" s="130"/>
      <c r="D7" s="130"/>
      <c r="E7" s="130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2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574270.69999999995</v>
      </c>
      <c r="E11" s="211">
        <f>SUM(E12:E14)</f>
        <v>532189.81000000006</v>
      </c>
    </row>
    <row r="12" spans="2:5">
      <c r="B12" s="167" t="s">
        <v>4</v>
      </c>
      <c r="C12" s="168" t="s">
        <v>5</v>
      </c>
      <c r="D12" s="271">
        <v>574270.69999999995</v>
      </c>
      <c r="E12" s="216">
        <v>532189.81000000006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574270.69999999995</v>
      </c>
      <c r="E21" s="145">
        <f>E11-E17</f>
        <v>532189.81000000006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639999.86</v>
      </c>
      <c r="E26" s="206">
        <f>D21</f>
        <v>574270.69999999995</v>
      </c>
    </row>
    <row r="27" spans="2:6">
      <c r="B27" s="9" t="s">
        <v>17</v>
      </c>
      <c r="C27" s="10" t="s">
        <v>111</v>
      </c>
      <c r="D27" s="285">
        <v>-16660.46</v>
      </c>
      <c r="E27" s="240">
        <v>-32426.14</v>
      </c>
      <c r="F27" s="70"/>
    </row>
    <row r="28" spans="2:6">
      <c r="B28" s="9" t="s">
        <v>18</v>
      </c>
      <c r="C28" s="10" t="s">
        <v>19</v>
      </c>
      <c r="D28" s="285">
        <v>24204.65</v>
      </c>
      <c r="E28" s="241">
        <v>3519.35</v>
      </c>
      <c r="F28" s="70"/>
    </row>
    <row r="29" spans="2:6">
      <c r="B29" s="175" t="s">
        <v>4</v>
      </c>
      <c r="C29" s="168" t="s">
        <v>20</v>
      </c>
      <c r="D29" s="286">
        <v>3680.18</v>
      </c>
      <c r="E29" s="242">
        <v>3401.68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20524.47</v>
      </c>
      <c r="E31" s="242">
        <v>117.67</v>
      </c>
      <c r="F31" s="70"/>
    </row>
    <row r="32" spans="2:6">
      <c r="B32" s="89" t="s">
        <v>23</v>
      </c>
      <c r="C32" s="11" t="s">
        <v>24</v>
      </c>
      <c r="D32" s="285">
        <v>40865.11</v>
      </c>
      <c r="E32" s="241">
        <v>35945.49</v>
      </c>
      <c r="F32" s="70"/>
    </row>
    <row r="33" spans="2:6">
      <c r="B33" s="175" t="s">
        <v>4</v>
      </c>
      <c r="C33" s="168" t="s">
        <v>25</v>
      </c>
      <c r="D33" s="286">
        <v>14667.47</v>
      </c>
      <c r="E33" s="242">
        <v>30792.210000000003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536.48</v>
      </c>
      <c r="E35" s="242">
        <v>481.76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5565.65</v>
      </c>
      <c r="E37" s="242">
        <v>4565.5200000000004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20095.509999999998</v>
      </c>
      <c r="E39" s="243">
        <v>106</v>
      </c>
      <c r="F39" s="70"/>
    </row>
    <row r="40" spans="2:6" ht="13.5" thickBot="1">
      <c r="B40" s="94" t="s">
        <v>35</v>
      </c>
      <c r="C40" s="95" t="s">
        <v>36</v>
      </c>
      <c r="D40" s="288">
        <v>27026.93</v>
      </c>
      <c r="E40" s="245">
        <v>-9654.75</v>
      </c>
    </row>
    <row r="41" spans="2:6" ht="13.5" thickBot="1">
      <c r="B41" s="96" t="s">
        <v>37</v>
      </c>
      <c r="C41" s="97" t="s">
        <v>38</v>
      </c>
      <c r="D41" s="289">
        <v>650366.33000000007</v>
      </c>
      <c r="E41" s="145">
        <f>E26+E27+E40</f>
        <v>532189.80999999994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2143.0480000000002</v>
      </c>
      <c r="E47" s="146">
        <v>1817.7150000000001</v>
      </c>
    </row>
    <row r="48" spans="2:6">
      <c r="B48" s="180" t="s">
        <v>6</v>
      </c>
      <c r="C48" s="181" t="s">
        <v>41</v>
      </c>
      <c r="D48" s="299">
        <v>2088.6579999999999</v>
      </c>
      <c r="E48" s="146">
        <v>1714.75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298.64</v>
      </c>
      <c r="E50" s="146">
        <v>315.93</v>
      </c>
    </row>
    <row r="51" spans="2:5">
      <c r="B51" s="178" t="s">
        <v>6</v>
      </c>
      <c r="C51" s="179" t="s">
        <v>114</v>
      </c>
      <c r="D51" s="299">
        <v>296.79000000000002</v>
      </c>
      <c r="E51" s="72">
        <v>308.77</v>
      </c>
    </row>
    <row r="52" spans="2:5">
      <c r="B52" s="178" t="s">
        <v>8</v>
      </c>
      <c r="C52" s="179" t="s">
        <v>115</v>
      </c>
      <c r="D52" s="299">
        <v>312.02999999999997</v>
      </c>
      <c r="E52" s="72">
        <v>317.18</v>
      </c>
    </row>
    <row r="53" spans="2:5" ht="14.25" customHeight="1" thickBot="1">
      <c r="B53" s="182" t="s">
        <v>9</v>
      </c>
      <c r="C53" s="183" t="s">
        <v>41</v>
      </c>
      <c r="D53" s="297">
        <v>311.38</v>
      </c>
      <c r="E53" s="246">
        <v>310.36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532189.81000000006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532189.81000000006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532189.81000000006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532189.81000000006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6000000000000005" bottom="0.47" header="0.5" footer="0.5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3.1406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89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64302553.339999996</v>
      </c>
      <c r="E11" s="211">
        <f>SUM(E12:E14)</f>
        <v>84009287.890000001</v>
      </c>
    </row>
    <row r="12" spans="2:7">
      <c r="B12" s="103" t="s">
        <v>4</v>
      </c>
      <c r="C12" s="188" t="s">
        <v>5</v>
      </c>
      <c r="D12" s="271">
        <f>64375556.48+402796.6-595941.46</f>
        <v>64182411.619999997</v>
      </c>
      <c r="E12" s="216">
        <f>82787180.58+1853094.98-742236.09</f>
        <v>83898039.469999999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>
        <f>D15</f>
        <v>120141.72</v>
      </c>
      <c r="E14" s="217">
        <f>E15</f>
        <v>111248.42</v>
      </c>
    </row>
    <row r="15" spans="2:7">
      <c r="B15" s="103" t="s">
        <v>106</v>
      </c>
      <c r="C15" s="188" t="s">
        <v>11</v>
      </c>
      <c r="D15" s="272">
        <v>120141.72</v>
      </c>
      <c r="E15" s="217">
        <v>111248.42</v>
      </c>
    </row>
    <row r="16" spans="2:7">
      <c r="B16" s="104" t="s">
        <v>107</v>
      </c>
      <c r="C16" s="189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118696.25</v>
      </c>
      <c r="E17" s="219">
        <f>E18</f>
        <v>153179.53</v>
      </c>
    </row>
    <row r="18" spans="2:6">
      <c r="B18" s="103" t="s">
        <v>4</v>
      </c>
      <c r="C18" s="188" t="s">
        <v>11</v>
      </c>
      <c r="D18" s="273">
        <v>118696.25</v>
      </c>
      <c r="E18" s="218">
        <v>153179.53</v>
      </c>
    </row>
    <row r="19" spans="2:6" ht="15" customHeight="1">
      <c r="B19" s="103" t="s">
        <v>6</v>
      </c>
      <c r="C19" s="188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64183857.089999996</v>
      </c>
      <c r="E21" s="145">
        <f>E11-E17</f>
        <v>83856108.359999999</v>
      </c>
      <c r="F21" s="74"/>
    </row>
    <row r="22" spans="2:6">
      <c r="B22" s="3"/>
      <c r="C22" s="7"/>
      <c r="D22" s="8"/>
      <c r="E22" s="8"/>
    </row>
    <row r="23" spans="2:6" ht="15.75">
      <c r="B23" s="356"/>
      <c r="C23" s="368"/>
      <c r="D23" s="368"/>
      <c r="E23" s="368"/>
    </row>
    <row r="24" spans="2:6" ht="17.25" customHeight="1" thickBot="1">
      <c r="B24" s="355" t="s">
        <v>105</v>
      </c>
      <c r="C24" s="369"/>
      <c r="D24" s="369"/>
      <c r="E24" s="369"/>
    </row>
    <row r="25" spans="2:6" ht="13.5" thickBot="1">
      <c r="B25" s="83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45806649.380000003</v>
      </c>
      <c r="E26" s="206">
        <f>D21</f>
        <v>64183857.089999996</v>
      </c>
    </row>
    <row r="27" spans="2:6">
      <c r="B27" s="9" t="s">
        <v>17</v>
      </c>
      <c r="C27" s="10" t="s">
        <v>111</v>
      </c>
      <c r="D27" s="285">
        <v>622235.78000000119</v>
      </c>
      <c r="E27" s="240">
        <v>4497957.4499999993</v>
      </c>
      <c r="F27" s="70"/>
    </row>
    <row r="28" spans="2:6">
      <c r="B28" s="9" t="s">
        <v>18</v>
      </c>
      <c r="C28" s="10" t="s">
        <v>19</v>
      </c>
      <c r="D28" s="285">
        <v>6307071.2100000009</v>
      </c>
      <c r="E28" s="241">
        <v>13361476.98</v>
      </c>
      <c r="F28" s="70"/>
    </row>
    <row r="29" spans="2:6">
      <c r="B29" s="101" t="s">
        <v>4</v>
      </c>
      <c r="C29" s="6" t="s">
        <v>20</v>
      </c>
      <c r="D29" s="286">
        <v>4296281.75</v>
      </c>
      <c r="E29" s="242">
        <v>5156973.03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2010789.46</v>
      </c>
      <c r="E31" s="242">
        <v>8204503.9500000002</v>
      </c>
      <c r="F31" s="70"/>
    </row>
    <row r="32" spans="2:6">
      <c r="B32" s="89" t="s">
        <v>23</v>
      </c>
      <c r="C32" s="11" t="s">
        <v>24</v>
      </c>
      <c r="D32" s="285">
        <v>5684835.4299999997</v>
      </c>
      <c r="E32" s="241">
        <v>8863519.5300000012</v>
      </c>
      <c r="F32" s="70"/>
    </row>
    <row r="33" spans="2:6">
      <c r="B33" s="101" t="s">
        <v>4</v>
      </c>
      <c r="C33" s="6" t="s">
        <v>25</v>
      </c>
      <c r="D33" s="286">
        <v>2679468.13</v>
      </c>
      <c r="E33" s="242">
        <v>3162685.88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585702.32999999996</v>
      </c>
      <c r="E35" s="242">
        <v>602886.95000000007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2419664.9700000002</v>
      </c>
      <c r="E39" s="243">
        <v>5097946.7</v>
      </c>
      <c r="F39" s="70"/>
    </row>
    <row r="40" spans="2:6" ht="13.5" thickBot="1">
      <c r="B40" s="94" t="s">
        <v>35</v>
      </c>
      <c r="C40" s="95" t="s">
        <v>36</v>
      </c>
      <c r="D40" s="288">
        <v>4024175.16</v>
      </c>
      <c r="E40" s="245">
        <v>15174293.82</v>
      </c>
    </row>
    <row r="41" spans="2:6" ht="13.5" thickBot="1">
      <c r="B41" s="96" t="s">
        <v>37</v>
      </c>
      <c r="C41" s="97" t="s">
        <v>38</v>
      </c>
      <c r="D41" s="289">
        <v>50453060.320000008</v>
      </c>
      <c r="E41" s="145">
        <f>E26+E27+E40</f>
        <v>83856108.359999985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7.2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3778970.8491000002</v>
      </c>
      <c r="E47" s="300">
        <v>3718993.9479</v>
      </c>
    </row>
    <row r="48" spans="2:6">
      <c r="B48" s="180" t="s">
        <v>6</v>
      </c>
      <c r="C48" s="181" t="s">
        <v>41</v>
      </c>
      <c r="D48" s="299">
        <v>3830188.6409999998</v>
      </c>
      <c r="E48" s="310">
        <v>3965674.0997000001</v>
      </c>
    </row>
    <row r="49" spans="2:5">
      <c r="B49" s="117" t="s">
        <v>23</v>
      </c>
      <c r="C49" s="121" t="s">
        <v>113</v>
      </c>
      <c r="D49" s="302"/>
      <c r="E49" s="300"/>
    </row>
    <row r="50" spans="2:5">
      <c r="B50" s="178" t="s">
        <v>4</v>
      </c>
      <c r="C50" s="179" t="s">
        <v>40</v>
      </c>
      <c r="D50" s="299">
        <v>12.121499999999999</v>
      </c>
      <c r="E50" s="300">
        <v>17.258400000000002</v>
      </c>
    </row>
    <row r="51" spans="2:5">
      <c r="B51" s="178" t="s">
        <v>6</v>
      </c>
      <c r="C51" s="179" t="s">
        <v>114</v>
      </c>
      <c r="D51" s="299">
        <v>8.7685999999999993</v>
      </c>
      <c r="E51" s="300">
        <v>17.258400000000002</v>
      </c>
    </row>
    <row r="52" spans="2:5">
      <c r="B52" s="178" t="s">
        <v>8</v>
      </c>
      <c r="C52" s="179" t="s">
        <v>115</v>
      </c>
      <c r="D52" s="299">
        <v>13.5777</v>
      </c>
      <c r="E52" s="300">
        <v>21.332000000000001</v>
      </c>
    </row>
    <row r="53" spans="2:5" ht="13.5" thickBot="1">
      <c r="B53" s="182" t="s">
        <v>9</v>
      </c>
      <c r="C53" s="183" t="s">
        <v>41</v>
      </c>
      <c r="D53" s="297">
        <v>13.172499999999999</v>
      </c>
      <c r="E53" s="246">
        <v>21.145499999999998</v>
      </c>
    </row>
    <row r="54" spans="2:5">
      <c r="B54" s="184"/>
      <c r="C54" s="185"/>
      <c r="D54" s="108"/>
      <c r="E54" s="108"/>
    </row>
    <row r="55" spans="2:5" ht="13.5">
      <c r="B55" s="357" t="s">
        <v>62</v>
      </c>
      <c r="C55" s="366"/>
      <c r="D55" s="366"/>
      <c r="E55" s="366"/>
    </row>
    <row r="56" spans="2:5" ht="18" customHeight="1" thickBot="1">
      <c r="B56" s="355" t="s">
        <v>116</v>
      </c>
      <c r="C56" s="367"/>
      <c r="D56" s="367"/>
      <c r="E56" s="367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83898039.469999999</v>
      </c>
      <c r="E58" s="31">
        <f>D58/E21</f>
        <v>1.0005000364412331</v>
      </c>
    </row>
    <row r="59" spans="2:5" ht="25.5">
      <c r="B59" s="311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312" t="s">
        <v>6</v>
      </c>
      <c r="C60" s="179" t="s">
        <v>45</v>
      </c>
      <c r="D60" s="75">
        <v>0</v>
      </c>
      <c r="E60" s="76">
        <v>0</v>
      </c>
    </row>
    <row r="61" spans="2:5">
      <c r="B61" s="312" t="s">
        <v>8</v>
      </c>
      <c r="C61" s="179" t="s">
        <v>46</v>
      </c>
      <c r="D61" s="75">
        <v>0</v>
      </c>
      <c r="E61" s="76">
        <v>0</v>
      </c>
    </row>
    <row r="62" spans="2:5">
      <c r="B62" s="312" t="s">
        <v>9</v>
      </c>
      <c r="C62" s="179" t="s">
        <v>47</v>
      </c>
      <c r="D62" s="75">
        <v>0</v>
      </c>
      <c r="E62" s="76">
        <v>0</v>
      </c>
    </row>
    <row r="63" spans="2:5">
      <c r="B63" s="312" t="s">
        <v>29</v>
      </c>
      <c r="C63" s="179" t="s">
        <v>48</v>
      </c>
      <c r="D63" s="75">
        <v>0</v>
      </c>
      <c r="E63" s="76">
        <v>0</v>
      </c>
    </row>
    <row r="64" spans="2:5">
      <c r="B64" s="311" t="s">
        <v>31</v>
      </c>
      <c r="C64" s="181" t="s">
        <v>49</v>
      </c>
      <c r="D64" s="149">
        <f>82787180.58-742236.09</f>
        <v>82044944.489999995</v>
      </c>
      <c r="E64" s="78">
        <f>D64/E21</f>
        <v>0.97840152726591423</v>
      </c>
    </row>
    <row r="65" spans="2:5">
      <c r="B65" s="311" t="s">
        <v>33</v>
      </c>
      <c r="C65" s="181" t="s">
        <v>118</v>
      </c>
      <c r="D65" s="77">
        <v>0</v>
      </c>
      <c r="E65" s="78">
        <v>0</v>
      </c>
    </row>
    <row r="66" spans="2:5">
      <c r="B66" s="311" t="s">
        <v>50</v>
      </c>
      <c r="C66" s="181" t="s">
        <v>51</v>
      </c>
      <c r="D66" s="77">
        <v>0</v>
      </c>
      <c r="E66" s="78">
        <v>0</v>
      </c>
    </row>
    <row r="67" spans="2:5">
      <c r="B67" s="312" t="s">
        <v>52</v>
      </c>
      <c r="C67" s="179" t="s">
        <v>53</v>
      </c>
      <c r="D67" s="75">
        <v>0</v>
      </c>
      <c r="E67" s="76">
        <v>0</v>
      </c>
    </row>
    <row r="68" spans="2:5">
      <c r="B68" s="312" t="s">
        <v>54</v>
      </c>
      <c r="C68" s="179" t="s">
        <v>55</v>
      </c>
      <c r="D68" s="75">
        <v>0</v>
      </c>
      <c r="E68" s="76">
        <v>0</v>
      </c>
    </row>
    <row r="69" spans="2:5">
      <c r="B69" s="312" t="s">
        <v>56</v>
      </c>
      <c r="C69" s="179" t="s">
        <v>57</v>
      </c>
      <c r="D69" s="298">
        <v>1853094.98</v>
      </c>
      <c r="E69" s="76">
        <f>D69/E21</f>
        <v>2.2098509175318949E-2</v>
      </c>
    </row>
    <row r="70" spans="2:5">
      <c r="B70" s="313" t="s">
        <v>58</v>
      </c>
      <c r="C70" s="207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111248.42</v>
      </c>
      <c r="E72" s="116">
        <f>D72/E21</f>
        <v>1.3266585127275753E-3</v>
      </c>
    </row>
    <row r="73" spans="2:5">
      <c r="B73" s="23" t="s">
        <v>62</v>
      </c>
      <c r="C73" s="24" t="s">
        <v>65</v>
      </c>
      <c r="D73" s="25">
        <f>E17</f>
        <v>153179.53</v>
      </c>
      <c r="E73" s="26">
        <f>D73/E21</f>
        <v>1.8266949539607754E-3</v>
      </c>
    </row>
    <row r="74" spans="2:5">
      <c r="B74" s="117" t="s">
        <v>64</v>
      </c>
      <c r="C74" s="118" t="s">
        <v>66</v>
      </c>
      <c r="D74" s="119">
        <f>D58+D71+D72-D73</f>
        <v>83856108.359999999</v>
      </c>
      <c r="E74" s="65">
        <f>E58+E72-E73</f>
        <v>0.99999999999999989</v>
      </c>
    </row>
    <row r="75" spans="2:5">
      <c r="B75" s="312" t="s">
        <v>4</v>
      </c>
      <c r="C75" s="179" t="s">
        <v>67</v>
      </c>
      <c r="D75" s="75">
        <f>D74</f>
        <v>83856108.359999999</v>
      </c>
      <c r="E75" s="76">
        <f>E74</f>
        <v>0.99999999999999989</v>
      </c>
    </row>
    <row r="76" spans="2:5">
      <c r="B76" s="312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314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52" bottom="0.47" header="0.5" footer="0.5"/>
  <pageSetup paperSize="9" scale="70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8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251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286476.39</v>
      </c>
      <c r="E11" s="211">
        <f>SUM(E12:E14)</f>
        <v>224628.51</v>
      </c>
    </row>
    <row r="12" spans="2:5">
      <c r="B12" s="167" t="s">
        <v>4</v>
      </c>
      <c r="C12" s="168" t="s">
        <v>5</v>
      </c>
      <c r="D12" s="271">
        <v>286476.39</v>
      </c>
      <c r="E12" s="216">
        <v>224628.51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286476.39</v>
      </c>
      <c r="E21" s="145">
        <f>E11-E17</f>
        <v>224628.51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274039.97000000003</v>
      </c>
      <c r="E26" s="206">
        <f>D21</f>
        <v>286476.39</v>
      </c>
    </row>
    <row r="27" spans="2:6">
      <c r="B27" s="9" t="s">
        <v>17</v>
      </c>
      <c r="C27" s="10" t="s">
        <v>111</v>
      </c>
      <c r="D27" s="285">
        <v>1363.7200000000012</v>
      </c>
      <c r="E27" s="240">
        <v>-61633.77</v>
      </c>
      <c r="F27" s="70"/>
    </row>
    <row r="28" spans="2:6">
      <c r="B28" s="9" t="s">
        <v>18</v>
      </c>
      <c r="C28" s="10" t="s">
        <v>19</v>
      </c>
      <c r="D28" s="285">
        <v>100669.81</v>
      </c>
      <c r="E28" s="241">
        <v>13146.66</v>
      </c>
      <c r="F28" s="70"/>
    </row>
    <row r="29" spans="2:6">
      <c r="B29" s="175" t="s">
        <v>4</v>
      </c>
      <c r="C29" s="168" t="s">
        <v>20</v>
      </c>
      <c r="D29" s="286">
        <v>12928.63</v>
      </c>
      <c r="E29" s="242">
        <v>13146.66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87741.18</v>
      </c>
      <c r="E31" s="242"/>
      <c r="F31" s="70"/>
    </row>
    <row r="32" spans="2:6">
      <c r="B32" s="89" t="s">
        <v>23</v>
      </c>
      <c r="C32" s="11" t="s">
        <v>24</v>
      </c>
      <c r="D32" s="285">
        <v>99306.09</v>
      </c>
      <c r="E32" s="241">
        <v>74780.429999999993</v>
      </c>
      <c r="F32" s="70"/>
    </row>
    <row r="33" spans="2:6">
      <c r="B33" s="175" t="s">
        <v>4</v>
      </c>
      <c r="C33" s="168" t="s">
        <v>25</v>
      </c>
      <c r="D33" s="286">
        <v>33958.449999999997</v>
      </c>
      <c r="E33" s="242">
        <v>31561.77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1442.93</v>
      </c>
      <c r="E35" s="242">
        <v>1365.95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1984.45</v>
      </c>
      <c r="E37" s="242">
        <v>1642.24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61920.26</v>
      </c>
      <c r="E39" s="243">
        <v>40210.47</v>
      </c>
      <c r="F39" s="70"/>
    </row>
    <row r="40" spans="2:6" ht="13.5" thickBot="1">
      <c r="B40" s="94" t="s">
        <v>35</v>
      </c>
      <c r="C40" s="95" t="s">
        <v>36</v>
      </c>
      <c r="D40" s="288">
        <v>2032.56</v>
      </c>
      <c r="E40" s="245">
        <v>-214.11</v>
      </c>
    </row>
    <row r="41" spans="2:6" ht="13.5" thickBot="1">
      <c r="B41" s="96" t="s">
        <v>37</v>
      </c>
      <c r="C41" s="97" t="s">
        <v>38</v>
      </c>
      <c r="D41" s="289">
        <v>277436.25000000006</v>
      </c>
      <c r="E41" s="145">
        <f>E26+E27+E40</f>
        <v>224628.51000000004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34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978.8889999999999</v>
      </c>
      <c r="E47" s="146">
        <v>1011.998</v>
      </c>
    </row>
    <row r="48" spans="2:6">
      <c r="B48" s="120" t="s">
        <v>6</v>
      </c>
      <c r="C48" s="22" t="s">
        <v>41</v>
      </c>
      <c r="D48" s="299">
        <v>985.10900000000004</v>
      </c>
      <c r="E48" s="146">
        <v>794.41399999999999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279.95</v>
      </c>
      <c r="E50" s="146">
        <v>283.08</v>
      </c>
    </row>
    <row r="51" spans="2:5">
      <c r="B51" s="99" t="s">
        <v>6</v>
      </c>
      <c r="C51" s="15" t="s">
        <v>114</v>
      </c>
      <c r="D51" s="299">
        <v>278.95</v>
      </c>
      <c r="E51" s="146">
        <v>282.64</v>
      </c>
    </row>
    <row r="52" spans="2:5">
      <c r="B52" s="99" t="s">
        <v>8</v>
      </c>
      <c r="C52" s="15" t="s">
        <v>115</v>
      </c>
      <c r="D52" s="299">
        <v>281.76</v>
      </c>
      <c r="E52" s="72">
        <v>283.75</v>
      </c>
    </row>
    <row r="53" spans="2:5" ht="13.5" customHeight="1" thickBot="1">
      <c r="B53" s="100" t="s">
        <v>9</v>
      </c>
      <c r="C53" s="17" t="s">
        <v>41</v>
      </c>
      <c r="D53" s="297">
        <v>281.63</v>
      </c>
      <c r="E53" s="246">
        <v>282.76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224628.51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224628.51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224628.51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224628.51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9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178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90440.85</v>
      </c>
      <c r="E11" s="211">
        <f>SUM(E12:E14)</f>
        <v>91680.21</v>
      </c>
    </row>
    <row r="12" spans="2:5">
      <c r="B12" s="167" t="s">
        <v>4</v>
      </c>
      <c r="C12" s="168" t="s">
        <v>5</v>
      </c>
      <c r="D12" s="271">
        <v>90440.85</v>
      </c>
      <c r="E12" s="216">
        <v>91680.21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90440.85</v>
      </c>
      <c r="E21" s="145">
        <f>E11-E17</f>
        <v>91680.21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87485.23000000001</v>
      </c>
      <c r="E26" s="206">
        <f>D21</f>
        <v>90440.85</v>
      </c>
    </row>
    <row r="27" spans="2:6">
      <c r="B27" s="9" t="s">
        <v>17</v>
      </c>
      <c r="C27" s="10" t="s">
        <v>111</v>
      </c>
      <c r="D27" s="285">
        <v>-4814.2500000000009</v>
      </c>
      <c r="E27" s="240">
        <v>-7408.74</v>
      </c>
      <c r="F27" s="70"/>
    </row>
    <row r="28" spans="2:6">
      <c r="B28" s="9" t="s">
        <v>18</v>
      </c>
      <c r="C28" s="10" t="s">
        <v>19</v>
      </c>
      <c r="D28" s="285">
        <v>3324.51</v>
      </c>
      <c r="E28" s="241">
        <v>2480.96</v>
      </c>
      <c r="F28" s="70"/>
    </row>
    <row r="29" spans="2:6">
      <c r="B29" s="175" t="s">
        <v>4</v>
      </c>
      <c r="C29" s="168" t="s">
        <v>20</v>
      </c>
      <c r="D29" s="286">
        <v>3324.51</v>
      </c>
      <c r="E29" s="242">
        <v>2480.96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8138.7600000000011</v>
      </c>
      <c r="E32" s="241">
        <v>9889.7000000000007</v>
      </c>
      <c r="F32" s="70"/>
    </row>
    <row r="33" spans="2:6">
      <c r="B33" s="175" t="s">
        <v>4</v>
      </c>
      <c r="C33" s="168" t="s">
        <v>25</v>
      </c>
      <c r="D33" s="286">
        <v>7491.52</v>
      </c>
      <c r="E33" s="242">
        <v>9088.9599999999991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160.63999999999999</v>
      </c>
      <c r="E35" s="242">
        <v>93.07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486.6</v>
      </c>
      <c r="E37" s="242">
        <v>707.67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-6588.38</v>
      </c>
      <c r="E40" s="245">
        <v>8648.1</v>
      </c>
    </row>
    <row r="41" spans="2:6" ht="13.5" thickBot="1">
      <c r="B41" s="96" t="s">
        <v>37</v>
      </c>
      <c r="C41" s="97" t="s">
        <v>38</v>
      </c>
      <c r="D41" s="289">
        <v>76082.600000000006</v>
      </c>
      <c r="E41" s="145">
        <f>E26+E27+E40</f>
        <v>91680.21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406.92699999999996</v>
      </c>
      <c r="E47" s="146">
        <v>393.88900000000001</v>
      </c>
    </row>
    <row r="48" spans="2:6">
      <c r="B48" s="180" t="s">
        <v>6</v>
      </c>
      <c r="C48" s="181" t="s">
        <v>41</v>
      </c>
      <c r="D48" s="299">
        <v>383.77100000000002</v>
      </c>
      <c r="E48" s="146">
        <v>362.86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214.99</v>
      </c>
      <c r="E50" s="146">
        <v>229.61</v>
      </c>
    </row>
    <row r="51" spans="2:5">
      <c r="B51" s="178" t="s">
        <v>6</v>
      </c>
      <c r="C51" s="179" t="s">
        <v>114</v>
      </c>
      <c r="D51" s="299">
        <v>163.32</v>
      </c>
      <c r="E51" s="72">
        <v>229.61</v>
      </c>
    </row>
    <row r="52" spans="2:5">
      <c r="B52" s="178" t="s">
        <v>8</v>
      </c>
      <c r="C52" s="179" t="s">
        <v>115</v>
      </c>
      <c r="D52" s="299">
        <v>221.13</v>
      </c>
      <c r="E52" s="72">
        <v>254.72</v>
      </c>
    </row>
    <row r="53" spans="2:5" ht="13.5" thickBot="1">
      <c r="B53" s="182" t="s">
        <v>9</v>
      </c>
      <c r="C53" s="183" t="s">
        <v>41</v>
      </c>
      <c r="D53" s="297">
        <v>198.25</v>
      </c>
      <c r="E53" s="246">
        <v>252.66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91680.21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24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91680.21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91680.21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91680.21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55000000000000004" header="0.5" footer="0.5"/>
  <pageSetup paperSize="9" scale="70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0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77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29647958.43</v>
      </c>
      <c r="E11" s="211">
        <f>SUM(E12:E14)</f>
        <v>28196090.879999999</v>
      </c>
    </row>
    <row r="12" spans="2:5">
      <c r="B12" s="167" t="s">
        <v>4</v>
      </c>
      <c r="C12" s="168" t="s">
        <v>5</v>
      </c>
      <c r="D12" s="271">
        <v>29647958.43</v>
      </c>
      <c r="E12" s="216">
        <v>28196090.879999999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29647958.43</v>
      </c>
      <c r="E21" s="145">
        <f>E11-E17</f>
        <v>28196090.879999999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65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29426329.940000001</v>
      </c>
      <c r="E26" s="206">
        <f>D21</f>
        <v>29647958.43</v>
      </c>
    </row>
    <row r="27" spans="2:6">
      <c r="B27" s="9" t="s">
        <v>17</v>
      </c>
      <c r="C27" s="10" t="s">
        <v>111</v>
      </c>
      <c r="D27" s="285">
        <v>-336975.97</v>
      </c>
      <c r="E27" s="240">
        <v>-1736477.78</v>
      </c>
      <c r="F27" s="70"/>
    </row>
    <row r="28" spans="2:6">
      <c r="B28" s="9" t="s">
        <v>18</v>
      </c>
      <c r="C28" s="10" t="s">
        <v>19</v>
      </c>
      <c r="D28" s="285">
        <v>1018749.69</v>
      </c>
      <c r="E28" s="241">
        <v>889307.1</v>
      </c>
      <c r="F28" s="70"/>
    </row>
    <row r="29" spans="2:6">
      <c r="B29" s="175" t="s">
        <v>4</v>
      </c>
      <c r="C29" s="168" t="s">
        <v>20</v>
      </c>
      <c r="D29" s="286">
        <v>1018749.69</v>
      </c>
      <c r="E29" s="242">
        <v>889307.1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1355725.66</v>
      </c>
      <c r="E32" s="241">
        <v>2625784.88</v>
      </c>
      <c r="F32" s="70"/>
    </row>
    <row r="33" spans="2:6">
      <c r="B33" s="175" t="s">
        <v>4</v>
      </c>
      <c r="C33" s="168" t="s">
        <v>25</v>
      </c>
      <c r="D33" s="286">
        <v>1355725.66</v>
      </c>
      <c r="E33" s="242">
        <v>2625784.88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-512787.92</v>
      </c>
      <c r="E40" s="245">
        <v>284610.23</v>
      </c>
    </row>
    <row r="41" spans="2:6" ht="13.5" thickBot="1">
      <c r="B41" s="96" t="s">
        <v>37</v>
      </c>
      <c r="C41" s="97" t="s">
        <v>38</v>
      </c>
      <c r="D41" s="289">
        <v>28576566.050000001</v>
      </c>
      <c r="E41" s="145">
        <f>E26+E27+E40</f>
        <v>28196090.879999999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34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1330370.4044999999</v>
      </c>
      <c r="E47" s="146">
        <v>1293828.8376</v>
      </c>
    </row>
    <row r="48" spans="2:6">
      <c r="B48" s="120" t="s">
        <v>6</v>
      </c>
      <c r="C48" s="22" t="s">
        <v>41</v>
      </c>
      <c r="D48" s="299">
        <v>1315074.3696000001</v>
      </c>
      <c r="E48" s="146">
        <v>1217321.6455999999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22.1189</v>
      </c>
      <c r="E50" s="146">
        <v>22.914899999999999</v>
      </c>
    </row>
    <row r="51" spans="2:5">
      <c r="B51" s="99" t="s">
        <v>6</v>
      </c>
      <c r="C51" s="15" t="s">
        <v>114</v>
      </c>
      <c r="D51" s="299">
        <v>20.298999999999999</v>
      </c>
      <c r="E51" s="72">
        <v>21.954499999999999</v>
      </c>
    </row>
    <row r="52" spans="2:5">
      <c r="B52" s="99" t="s">
        <v>8</v>
      </c>
      <c r="C52" s="15" t="s">
        <v>115</v>
      </c>
      <c r="D52" s="299">
        <v>22.929300000000001</v>
      </c>
      <c r="E52" s="72">
        <v>23.259899999999998</v>
      </c>
    </row>
    <row r="53" spans="2:5" ht="13.5" customHeight="1" thickBot="1">
      <c r="B53" s="100" t="s">
        <v>9</v>
      </c>
      <c r="C53" s="17" t="s">
        <v>41</v>
      </c>
      <c r="D53" s="297">
        <v>21.73</v>
      </c>
      <c r="E53" s="246">
        <v>23.162400000000002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28196090.879999999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28196090.879999999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28196090.879999999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28196090.879999999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62" bottom="0.52" header="0.5" footer="0.5"/>
  <pageSetup paperSize="9" scale="70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1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78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37715503.399999999</v>
      </c>
      <c r="E11" s="211">
        <f>SUM(E12:E14)</f>
        <v>0</v>
      </c>
    </row>
    <row r="12" spans="2:5">
      <c r="B12" s="167" t="s">
        <v>4</v>
      </c>
      <c r="C12" s="168" t="s">
        <v>5</v>
      </c>
      <c r="D12" s="271">
        <v>37715503.399999999</v>
      </c>
      <c r="E12" s="216"/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37715503.399999999</v>
      </c>
      <c r="E21" s="145">
        <f>E11-E17</f>
        <v>0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41088497.159999996</v>
      </c>
      <c r="E26" s="206">
        <f>D21</f>
        <v>37715503.399999999</v>
      </c>
    </row>
    <row r="27" spans="2:6">
      <c r="B27" s="9" t="s">
        <v>17</v>
      </c>
      <c r="C27" s="10" t="s">
        <v>111</v>
      </c>
      <c r="D27" s="285">
        <v>-1611596.4100000001</v>
      </c>
      <c r="E27" s="240">
        <v>-38138380.530000001</v>
      </c>
      <c r="F27" s="70"/>
    </row>
    <row r="28" spans="2:6">
      <c r="B28" s="9" t="s">
        <v>18</v>
      </c>
      <c r="C28" s="10" t="s">
        <v>19</v>
      </c>
      <c r="D28" s="285">
        <v>1450198.46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>
        <v>1450198.46</v>
      </c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3061794.87</v>
      </c>
      <c r="E32" s="241">
        <v>38138380.530000001</v>
      </c>
      <c r="F32" s="70"/>
    </row>
    <row r="33" spans="2:6">
      <c r="B33" s="175" t="s">
        <v>4</v>
      </c>
      <c r="C33" s="168" t="s">
        <v>25</v>
      </c>
      <c r="D33" s="286">
        <v>3061794.87</v>
      </c>
      <c r="E33" s="242">
        <v>38138380.530000001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-3236310.33</v>
      </c>
      <c r="E40" s="245">
        <v>422877.12999999995</v>
      </c>
    </row>
    <row r="41" spans="2:6" ht="13.5" thickBot="1">
      <c r="B41" s="96" t="s">
        <v>37</v>
      </c>
      <c r="C41" s="97" t="s">
        <v>38</v>
      </c>
      <c r="D41" s="289">
        <v>36240590.420000002</v>
      </c>
      <c r="E41" s="145" t="s">
        <v>123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34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787869.49459999998</v>
      </c>
      <c r="E47" s="146">
        <v>764380.01039999991</v>
      </c>
    </row>
    <row r="48" spans="2:6">
      <c r="B48" s="120" t="s">
        <v>6</v>
      </c>
      <c r="C48" s="22" t="s">
        <v>41</v>
      </c>
      <c r="D48" s="299">
        <v>756452.71250000002</v>
      </c>
      <c r="E48" s="146"/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52.151400000000002</v>
      </c>
      <c r="E50" s="146">
        <v>49.341299999999997</v>
      </c>
    </row>
    <row r="51" spans="2:5">
      <c r="B51" s="99" t="s">
        <v>6</v>
      </c>
      <c r="C51" s="15" t="s">
        <v>114</v>
      </c>
      <c r="D51" s="299">
        <v>46.402000000000001</v>
      </c>
      <c r="E51" s="72">
        <v>49.183399999999999</v>
      </c>
    </row>
    <row r="52" spans="2:5">
      <c r="B52" s="99" t="s">
        <v>8</v>
      </c>
      <c r="C52" s="15" t="s">
        <v>115</v>
      </c>
      <c r="D52" s="299">
        <v>53.927300000000002</v>
      </c>
      <c r="E52" s="72">
        <v>49.894599999999997</v>
      </c>
    </row>
    <row r="53" spans="2:5" ht="12.75" customHeight="1" thickBot="1">
      <c r="B53" s="100" t="s">
        <v>9</v>
      </c>
      <c r="C53" s="17" t="s">
        <v>41</v>
      </c>
      <c r="D53" s="297">
        <v>47.9086</v>
      </c>
      <c r="E53" s="246"/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0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0</v>
      </c>
      <c r="E64" s="78"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D58-D73</f>
        <v>0</v>
      </c>
      <c r="E74" s="65">
        <v>0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0</v>
      </c>
      <c r="E76" s="76">
        <f>E74</f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61" header="0.5" footer="0.5"/>
  <pageSetup paperSize="9" scale="70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2"/>
  <dimension ref="A1:F81"/>
  <sheetViews>
    <sheetView topLeftCell="A19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21" customHeight="1">
      <c r="B5" s="353" t="s">
        <v>1</v>
      </c>
      <c r="C5" s="353"/>
      <c r="D5" s="353"/>
      <c r="E5" s="353"/>
    </row>
    <row r="6" spans="2:5" ht="14.25" customHeight="1">
      <c r="B6" s="354" t="s">
        <v>79</v>
      </c>
      <c r="C6" s="354"/>
      <c r="D6" s="354"/>
      <c r="E6" s="354"/>
    </row>
    <row r="7" spans="2:5" ht="14.25">
      <c r="B7" s="209"/>
      <c r="C7" s="209"/>
      <c r="D7" s="209"/>
      <c r="E7" s="209"/>
    </row>
    <row r="8" spans="2:5" ht="13.5" customHeight="1">
      <c r="B8" s="356" t="s">
        <v>18</v>
      </c>
      <c r="C8" s="356"/>
      <c r="D8" s="356"/>
      <c r="E8" s="356"/>
    </row>
    <row r="9" spans="2:5" ht="16.5" customHeight="1" thickBot="1">
      <c r="B9" s="355" t="s">
        <v>103</v>
      </c>
      <c r="C9" s="355"/>
      <c r="D9" s="355"/>
      <c r="E9" s="355"/>
    </row>
    <row r="10" spans="2:5" ht="13.5" thickBot="1">
      <c r="B10" s="21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33064935.779999997</v>
      </c>
      <c r="E11" s="211">
        <f>SUM(E12:E14)</f>
        <v>0</v>
      </c>
    </row>
    <row r="12" spans="2:5">
      <c r="B12" s="167" t="s">
        <v>4</v>
      </c>
      <c r="C12" s="168" t="s">
        <v>5</v>
      </c>
      <c r="D12" s="271">
        <v>33064935.779999997</v>
      </c>
      <c r="E12" s="216"/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customHeight="1" thickBot="1">
      <c r="B21" s="360" t="s">
        <v>110</v>
      </c>
      <c r="C21" s="372"/>
      <c r="D21" s="276">
        <v>33064935.779999997</v>
      </c>
      <c r="E21" s="145">
        <f>E11-E17</f>
        <v>0</v>
      </c>
      <c r="F21" s="74"/>
    </row>
    <row r="22" spans="2:6">
      <c r="B22" s="3"/>
      <c r="C22" s="7"/>
      <c r="D22" s="8"/>
      <c r="E22" s="8"/>
    </row>
    <row r="23" spans="2:6" ht="13.5" customHeight="1">
      <c r="B23" s="356" t="s">
        <v>104</v>
      </c>
      <c r="C23" s="356"/>
      <c r="D23" s="356"/>
      <c r="E23" s="356"/>
    </row>
    <row r="24" spans="2:6" ht="15.75" customHeight="1" thickBot="1">
      <c r="B24" s="355" t="s">
        <v>105</v>
      </c>
      <c r="C24" s="355"/>
      <c r="D24" s="355"/>
      <c r="E24" s="355"/>
    </row>
    <row r="25" spans="2:6" ht="13.5" thickBot="1">
      <c r="B25" s="210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34774696.240000002</v>
      </c>
      <c r="E26" s="206">
        <f>D21</f>
        <v>33064935.779999997</v>
      </c>
    </row>
    <row r="27" spans="2:6">
      <c r="B27" s="9" t="s">
        <v>17</v>
      </c>
      <c r="C27" s="10" t="s">
        <v>111</v>
      </c>
      <c r="D27" s="285">
        <v>-633844.27</v>
      </c>
      <c r="E27" s="240">
        <v>-34120471.689999998</v>
      </c>
      <c r="F27" s="70"/>
    </row>
    <row r="28" spans="2:6">
      <c r="B28" s="9" t="s">
        <v>18</v>
      </c>
      <c r="C28" s="10" t="s">
        <v>19</v>
      </c>
      <c r="D28" s="285">
        <v>1216781.67</v>
      </c>
      <c r="E28" s="241">
        <v>192366.63</v>
      </c>
      <c r="F28" s="70"/>
    </row>
    <row r="29" spans="2:6">
      <c r="B29" s="175" t="s">
        <v>4</v>
      </c>
      <c r="C29" s="168" t="s">
        <v>20</v>
      </c>
      <c r="D29" s="286">
        <v>1216781.67</v>
      </c>
      <c r="E29" s="242">
        <v>192366.63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1850625.94</v>
      </c>
      <c r="E32" s="241">
        <v>34312838.32</v>
      </c>
      <c r="F32" s="70"/>
    </row>
    <row r="33" spans="2:6">
      <c r="B33" s="175" t="s">
        <v>4</v>
      </c>
      <c r="C33" s="168" t="s">
        <v>25</v>
      </c>
      <c r="D33" s="286">
        <v>1850625.94</v>
      </c>
      <c r="E33" s="242">
        <v>34312838.32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-2849891.75</v>
      </c>
      <c r="E40" s="245">
        <v>1055535.9099999999</v>
      </c>
    </row>
    <row r="41" spans="2:6" ht="13.5" thickBot="1">
      <c r="B41" s="96" t="s">
        <v>37</v>
      </c>
      <c r="C41" s="97" t="s">
        <v>38</v>
      </c>
      <c r="D41" s="289">
        <v>31290960.219999999</v>
      </c>
      <c r="E41" s="145">
        <f>E26+E27+E40</f>
        <v>0</v>
      </c>
      <c r="F41" s="74"/>
    </row>
    <row r="42" spans="2:6">
      <c r="B42" s="90"/>
      <c r="C42" s="90"/>
      <c r="D42" s="91"/>
      <c r="E42" s="91"/>
      <c r="F42" s="74"/>
    </row>
    <row r="43" spans="2:6" ht="13.5" customHeight="1">
      <c r="B43" s="357" t="s">
        <v>60</v>
      </c>
      <c r="C43" s="357"/>
      <c r="D43" s="357"/>
      <c r="E43" s="357"/>
    </row>
    <row r="44" spans="2:6" ht="18" customHeight="1" thickBot="1">
      <c r="B44" s="355" t="s">
        <v>121</v>
      </c>
      <c r="C44" s="355"/>
      <c r="D44" s="355"/>
      <c r="E44" s="355"/>
    </row>
    <row r="45" spans="2:6" ht="13.5" thickBot="1">
      <c r="B45" s="210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637508.68480000005</v>
      </c>
      <c r="E47" s="146">
        <v>640133.34649999999</v>
      </c>
    </row>
    <row r="48" spans="2:6">
      <c r="B48" s="180" t="s">
        <v>6</v>
      </c>
      <c r="C48" s="181" t="s">
        <v>41</v>
      </c>
      <c r="D48" s="299">
        <v>625147.79559999995</v>
      </c>
      <c r="E48" s="146"/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54.547800000000002</v>
      </c>
      <c r="E50" s="146">
        <v>51.653199999999998</v>
      </c>
    </row>
    <row r="51" spans="2:5">
      <c r="B51" s="178" t="s">
        <v>6</v>
      </c>
      <c r="C51" s="179" t="s">
        <v>114</v>
      </c>
      <c r="D51" s="299">
        <v>48.3262</v>
      </c>
      <c r="E51" s="72">
        <v>51.491100000000003</v>
      </c>
    </row>
    <row r="52" spans="2:5">
      <c r="B52" s="178" t="s">
        <v>8</v>
      </c>
      <c r="C52" s="179" t="s">
        <v>115</v>
      </c>
      <c r="D52" s="299">
        <v>56.163600000000002</v>
      </c>
      <c r="E52" s="72">
        <v>53.298999999999999</v>
      </c>
    </row>
    <row r="53" spans="2:5" ht="13.5" customHeight="1" thickBot="1">
      <c r="B53" s="182" t="s">
        <v>9</v>
      </c>
      <c r="C53" s="183" t="s">
        <v>41</v>
      </c>
      <c r="D53" s="297">
        <v>50.053699999999999</v>
      </c>
      <c r="E53" s="246"/>
    </row>
    <row r="54" spans="2:5">
      <c r="B54" s="106"/>
      <c r="C54" s="107"/>
      <c r="D54" s="108"/>
      <c r="E54" s="108"/>
    </row>
    <row r="55" spans="2:5" ht="13.5" customHeight="1">
      <c r="B55" s="357" t="s">
        <v>62</v>
      </c>
      <c r="C55" s="357"/>
      <c r="D55" s="357"/>
      <c r="E55" s="357"/>
    </row>
    <row r="56" spans="2:5" ht="18" customHeight="1" thickBot="1">
      <c r="B56" s="355" t="s">
        <v>116</v>
      </c>
      <c r="C56" s="355"/>
      <c r="D56" s="355"/>
      <c r="E56" s="355"/>
    </row>
    <row r="57" spans="2:5" ht="23.25" customHeight="1" thickBot="1">
      <c r="B57" s="370" t="s">
        <v>42</v>
      </c>
      <c r="C57" s="37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0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0</v>
      </c>
      <c r="E64" s="78"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D58-D73</f>
        <v>0</v>
      </c>
      <c r="E74" s="65">
        <v>0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0</v>
      </c>
      <c r="E76" s="76">
        <f>E74</f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75" right="0.75" top="0.71" bottom="0.63" header="0.5" footer="0.5"/>
  <pageSetup paperSize="9" scale="70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3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21" customHeight="1">
      <c r="B5" s="353" t="s">
        <v>1</v>
      </c>
      <c r="C5" s="353"/>
      <c r="D5" s="353"/>
      <c r="E5" s="353"/>
    </row>
    <row r="6" spans="2:5" ht="14.25" customHeight="1">
      <c r="B6" s="354" t="s">
        <v>80</v>
      </c>
      <c r="C6" s="354"/>
      <c r="D6" s="354"/>
      <c r="E6" s="354"/>
    </row>
    <row r="7" spans="2:5" ht="14.25">
      <c r="B7" s="209"/>
      <c r="C7" s="209"/>
      <c r="D7" s="209"/>
      <c r="E7" s="209"/>
    </row>
    <row r="8" spans="2:5" ht="13.5" customHeight="1">
      <c r="B8" s="356" t="s">
        <v>18</v>
      </c>
      <c r="C8" s="356"/>
      <c r="D8" s="356"/>
      <c r="E8" s="356"/>
    </row>
    <row r="9" spans="2:5" ht="16.5" customHeight="1" thickBot="1">
      <c r="B9" s="355" t="s">
        <v>103</v>
      </c>
      <c r="C9" s="355"/>
      <c r="D9" s="355"/>
      <c r="E9" s="355"/>
    </row>
    <row r="10" spans="2:5" ht="13.5" thickBot="1">
      <c r="B10" s="210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31223838.18</v>
      </c>
      <c r="E11" s="211">
        <f>SUM(E12:E14)</f>
        <v>0</v>
      </c>
    </row>
    <row r="12" spans="2:5">
      <c r="B12" s="103" t="s">
        <v>4</v>
      </c>
      <c r="C12" s="6" t="s">
        <v>5</v>
      </c>
      <c r="D12" s="271">
        <v>31223838.18</v>
      </c>
      <c r="E12" s="216"/>
    </row>
    <row r="13" spans="2:5">
      <c r="B13" s="103" t="s">
        <v>6</v>
      </c>
      <c r="C13" s="67" t="s">
        <v>7</v>
      </c>
      <c r="D13" s="272"/>
      <c r="E13" s="217"/>
    </row>
    <row r="14" spans="2:5">
      <c r="B14" s="103" t="s">
        <v>8</v>
      </c>
      <c r="C14" s="67" t="s">
        <v>10</v>
      </c>
      <c r="D14" s="272"/>
      <c r="E14" s="217"/>
    </row>
    <row r="15" spans="2:5">
      <c r="B15" s="103" t="s">
        <v>106</v>
      </c>
      <c r="C15" s="67" t="s">
        <v>11</v>
      </c>
      <c r="D15" s="272"/>
      <c r="E15" s="217"/>
    </row>
    <row r="16" spans="2:5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customHeight="1" thickBot="1">
      <c r="B21" s="360" t="s">
        <v>110</v>
      </c>
      <c r="C21" s="372"/>
      <c r="D21" s="276">
        <v>31223838.18</v>
      </c>
      <c r="E21" s="145">
        <f>E11-E17</f>
        <v>0</v>
      </c>
      <c r="F21" s="74"/>
    </row>
    <row r="22" spans="2:6">
      <c r="B22" s="3"/>
      <c r="C22" s="7"/>
      <c r="D22" s="8"/>
      <c r="E22" s="8"/>
    </row>
    <row r="23" spans="2:6" ht="13.5" customHeight="1">
      <c r="B23" s="356" t="s">
        <v>104</v>
      </c>
      <c r="C23" s="356"/>
      <c r="D23" s="356"/>
      <c r="E23" s="356"/>
    </row>
    <row r="24" spans="2:6" ht="15.75" customHeight="1" thickBot="1">
      <c r="B24" s="355" t="s">
        <v>105</v>
      </c>
      <c r="C24" s="355"/>
      <c r="D24" s="355"/>
      <c r="E24" s="355"/>
    </row>
    <row r="25" spans="2:6" ht="13.5" thickBot="1">
      <c r="B25" s="210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33465586.559999999</v>
      </c>
      <c r="E26" s="206">
        <f>D21</f>
        <v>31223838.18</v>
      </c>
    </row>
    <row r="27" spans="2:6">
      <c r="B27" s="9" t="s">
        <v>17</v>
      </c>
      <c r="C27" s="10" t="s">
        <v>111</v>
      </c>
      <c r="D27" s="285">
        <v>-860339.51</v>
      </c>
      <c r="E27" s="240">
        <v>-32227420.98</v>
      </c>
      <c r="F27" s="70"/>
    </row>
    <row r="28" spans="2:6">
      <c r="B28" s="9" t="s">
        <v>18</v>
      </c>
      <c r="C28" s="10" t="s">
        <v>19</v>
      </c>
      <c r="D28" s="285">
        <v>1174694</v>
      </c>
      <c r="E28" s="241">
        <v>364579.65</v>
      </c>
      <c r="F28" s="70"/>
    </row>
    <row r="29" spans="2:6">
      <c r="B29" s="101" t="s">
        <v>4</v>
      </c>
      <c r="C29" s="6" t="s">
        <v>20</v>
      </c>
      <c r="D29" s="286">
        <v>1174694</v>
      </c>
      <c r="E29" s="242">
        <v>364579.65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2035033.51</v>
      </c>
      <c r="E32" s="241">
        <v>32592000.629999999</v>
      </c>
      <c r="F32" s="70"/>
    </row>
    <row r="33" spans="2:6">
      <c r="B33" s="101" t="s">
        <v>4</v>
      </c>
      <c r="C33" s="6" t="s">
        <v>25</v>
      </c>
      <c r="D33" s="286">
        <v>2035033.51</v>
      </c>
      <c r="E33" s="242">
        <v>32592000.629999999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/>
      <c r="E35" s="242"/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-2724122.84</v>
      </c>
      <c r="E40" s="245">
        <v>1003582.7999999999</v>
      </c>
    </row>
    <row r="41" spans="2:6" ht="13.5" thickBot="1">
      <c r="B41" s="96" t="s">
        <v>37</v>
      </c>
      <c r="C41" s="97" t="s">
        <v>38</v>
      </c>
      <c r="D41" s="289">
        <v>29881124.209999997</v>
      </c>
      <c r="E41" s="145">
        <f>E26+E27+E40</f>
        <v>0</v>
      </c>
      <c r="F41" s="74"/>
    </row>
    <row r="42" spans="2:6">
      <c r="B42" s="90"/>
      <c r="C42" s="90"/>
      <c r="D42" s="91"/>
      <c r="E42" s="91"/>
      <c r="F42" s="74"/>
    </row>
    <row r="43" spans="2:6" ht="13.5" customHeight="1">
      <c r="B43" s="357" t="s">
        <v>60</v>
      </c>
      <c r="C43" s="357"/>
      <c r="D43" s="357"/>
      <c r="E43" s="357"/>
    </row>
    <row r="44" spans="2:6" ht="18" customHeight="1" thickBot="1">
      <c r="B44" s="355" t="s">
        <v>121</v>
      </c>
      <c r="C44" s="355"/>
      <c r="D44" s="355"/>
      <c r="E44" s="355"/>
    </row>
    <row r="45" spans="2:6" ht="13.5" thickBot="1">
      <c r="B45" s="210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611651.35759999999</v>
      </c>
      <c r="E47" s="146">
        <v>602409.30579999997</v>
      </c>
    </row>
    <row r="48" spans="2:6">
      <c r="B48" s="120" t="s">
        <v>6</v>
      </c>
      <c r="C48" s="22" t="s">
        <v>41</v>
      </c>
      <c r="D48" s="299">
        <v>594917.98699999996</v>
      </c>
      <c r="E48" s="146"/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54.713500000000003</v>
      </c>
      <c r="E50" s="146">
        <v>51.831600000000002</v>
      </c>
    </row>
    <row r="51" spans="2:5">
      <c r="B51" s="99" t="s">
        <v>6</v>
      </c>
      <c r="C51" s="15" t="s">
        <v>114</v>
      </c>
      <c r="D51" s="299">
        <v>48.468699999999998</v>
      </c>
      <c r="E51" s="146">
        <v>51.667499999999997</v>
      </c>
    </row>
    <row r="52" spans="2:5">
      <c r="B52" s="99" t="s">
        <v>8</v>
      </c>
      <c r="C52" s="15" t="s">
        <v>115</v>
      </c>
      <c r="D52" s="299">
        <v>56.316099999999999</v>
      </c>
      <c r="E52" s="72">
        <v>53.685200000000002</v>
      </c>
    </row>
    <row r="53" spans="2:5" ht="13.5" customHeight="1" thickBot="1">
      <c r="B53" s="100" t="s">
        <v>9</v>
      </c>
      <c r="C53" s="17" t="s">
        <v>41</v>
      </c>
      <c r="D53" s="297">
        <v>50.2273</v>
      </c>
      <c r="E53" s="246"/>
    </row>
    <row r="54" spans="2:5">
      <c r="B54" s="106"/>
      <c r="C54" s="107"/>
      <c r="D54" s="108"/>
      <c r="E54" s="108"/>
    </row>
    <row r="55" spans="2:5" ht="13.5" customHeight="1">
      <c r="B55" s="357" t="s">
        <v>62</v>
      </c>
      <c r="C55" s="357"/>
      <c r="D55" s="357"/>
      <c r="E55" s="357"/>
    </row>
    <row r="56" spans="2:5" ht="15.75" customHeight="1" thickBot="1">
      <c r="B56" s="355" t="s">
        <v>116</v>
      </c>
      <c r="C56" s="355"/>
      <c r="D56" s="355"/>
      <c r="E56" s="355"/>
    </row>
    <row r="57" spans="2:5" ht="23.25" customHeight="1" thickBot="1">
      <c r="B57" s="370" t="s">
        <v>42</v>
      </c>
      <c r="C57" s="37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0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0</v>
      </c>
      <c r="E64" s="78"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D58-D73</f>
        <v>0</v>
      </c>
      <c r="E74" s="65">
        <v>0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0</v>
      </c>
      <c r="E76" s="76">
        <f>E74</f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6000000000000005" bottom="0.5" header="0.5" footer="0.5"/>
  <pageSetup paperSize="9" scale="70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4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81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27949104.030000001</v>
      </c>
      <c r="E11" s="211">
        <f>SUM(E12:E14)</f>
        <v>26805957.050000001</v>
      </c>
    </row>
    <row r="12" spans="2:5">
      <c r="B12" s="167" t="s">
        <v>4</v>
      </c>
      <c r="C12" s="168" t="s">
        <v>5</v>
      </c>
      <c r="D12" s="271">
        <v>27949104.030000001</v>
      </c>
      <c r="E12" s="216">
        <v>26805957.050000001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27949104.030000001</v>
      </c>
      <c r="E21" s="145">
        <f>E11-E17</f>
        <v>26805957.050000001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65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28398060.829999998</v>
      </c>
      <c r="E26" s="206">
        <f>D21</f>
        <v>27949104.030000001</v>
      </c>
    </row>
    <row r="27" spans="2:6">
      <c r="B27" s="9" t="s">
        <v>17</v>
      </c>
      <c r="C27" s="10" t="s">
        <v>111</v>
      </c>
      <c r="D27" s="285">
        <v>-1286945.9000000001</v>
      </c>
      <c r="E27" s="240">
        <v>-1596338.17</v>
      </c>
      <c r="F27" s="70"/>
    </row>
    <row r="28" spans="2:6">
      <c r="B28" s="9" t="s">
        <v>18</v>
      </c>
      <c r="C28" s="10" t="s">
        <v>19</v>
      </c>
      <c r="D28" s="285">
        <v>956164.95</v>
      </c>
      <c r="E28" s="241">
        <v>854861.12</v>
      </c>
      <c r="F28" s="70"/>
    </row>
    <row r="29" spans="2:6">
      <c r="B29" s="175" t="s">
        <v>4</v>
      </c>
      <c r="C29" s="168" t="s">
        <v>20</v>
      </c>
      <c r="D29" s="286">
        <v>956164.95</v>
      </c>
      <c r="E29" s="242">
        <v>854861.12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2243110.85</v>
      </c>
      <c r="E32" s="241">
        <v>2451199.29</v>
      </c>
      <c r="F32" s="70"/>
    </row>
    <row r="33" spans="2:6">
      <c r="B33" s="175" t="s">
        <v>4</v>
      </c>
      <c r="C33" s="168" t="s">
        <v>25</v>
      </c>
      <c r="D33" s="286">
        <v>2243110.85</v>
      </c>
      <c r="E33" s="242">
        <v>2451199.2900000005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-543005.77</v>
      </c>
      <c r="E40" s="245">
        <v>453191.19</v>
      </c>
    </row>
    <row r="41" spans="2:6" ht="13.5" thickBot="1">
      <c r="B41" s="96" t="s">
        <v>37</v>
      </c>
      <c r="C41" s="97" t="s">
        <v>38</v>
      </c>
      <c r="D41" s="289">
        <v>26568109.16</v>
      </c>
      <c r="E41" s="145">
        <f>E26+E27+E40</f>
        <v>26805957.050000001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34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1139102.8084999998</v>
      </c>
      <c r="E47" s="146">
        <v>1086178.2413000001</v>
      </c>
    </row>
    <row r="48" spans="2:6">
      <c r="B48" s="120" t="s">
        <v>6</v>
      </c>
      <c r="C48" s="22" t="s">
        <v>41</v>
      </c>
      <c r="D48" s="299">
        <v>1086768.0223000001</v>
      </c>
      <c r="E48" s="146">
        <v>1023593.0463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24.930199999999999</v>
      </c>
      <c r="E50" s="146">
        <v>25.7316</v>
      </c>
    </row>
    <row r="51" spans="2:5">
      <c r="B51" s="99" t="s">
        <v>6</v>
      </c>
      <c r="C51" s="15" t="s">
        <v>114</v>
      </c>
      <c r="D51" s="299">
        <v>22.602499999999999</v>
      </c>
      <c r="E51" s="146">
        <v>24.734400000000001</v>
      </c>
    </row>
    <row r="52" spans="2:5">
      <c r="B52" s="99" t="s">
        <v>8</v>
      </c>
      <c r="C52" s="15" t="s">
        <v>115</v>
      </c>
      <c r="D52" s="299">
        <v>25.954499999999999</v>
      </c>
      <c r="E52" s="72">
        <v>26.308199999999999</v>
      </c>
    </row>
    <row r="53" spans="2:5" ht="12.75" customHeight="1" thickBot="1">
      <c r="B53" s="100" t="s">
        <v>9</v>
      </c>
      <c r="C53" s="17" t="s">
        <v>41</v>
      </c>
      <c r="D53" s="297">
        <v>24.446899999999999</v>
      </c>
      <c r="E53" s="246">
        <v>26.188099999999999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26805957.050000001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26805957.050000001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26805957.050000001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26805957.050000001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1" bottom="0.51" header="0.5" footer="0.5"/>
  <pageSetup paperSize="9" scale="70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5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82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20569987.079999998</v>
      </c>
      <c r="E11" s="211">
        <f>SUM(E12:E14)</f>
        <v>20206792.579999998</v>
      </c>
    </row>
    <row r="12" spans="2:5">
      <c r="B12" s="103" t="s">
        <v>4</v>
      </c>
      <c r="C12" s="6" t="s">
        <v>5</v>
      </c>
      <c r="D12" s="271">
        <v>20569987.079999998</v>
      </c>
      <c r="E12" s="216">
        <v>20206792.579999998</v>
      </c>
    </row>
    <row r="13" spans="2:5">
      <c r="B13" s="103" t="s">
        <v>6</v>
      </c>
      <c r="C13" s="67" t="s">
        <v>7</v>
      </c>
      <c r="D13" s="272"/>
      <c r="E13" s="217"/>
    </row>
    <row r="14" spans="2:5">
      <c r="B14" s="103" t="s">
        <v>8</v>
      </c>
      <c r="C14" s="67" t="s">
        <v>10</v>
      </c>
      <c r="D14" s="272"/>
      <c r="E14" s="217"/>
    </row>
    <row r="15" spans="2:5">
      <c r="B15" s="103" t="s">
        <v>106</v>
      </c>
      <c r="C15" s="67" t="s">
        <v>11</v>
      </c>
      <c r="D15" s="272"/>
      <c r="E15" s="217"/>
    </row>
    <row r="16" spans="2:5">
      <c r="B16" s="104" t="s">
        <v>107</v>
      </c>
      <c r="C16" s="88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03" t="s">
        <v>4</v>
      </c>
      <c r="C18" s="6" t="s">
        <v>11</v>
      </c>
      <c r="D18" s="273"/>
      <c r="E18" s="218"/>
    </row>
    <row r="19" spans="2:6" ht="15" customHeight="1">
      <c r="B19" s="103" t="s">
        <v>6</v>
      </c>
      <c r="C19" s="67" t="s">
        <v>108</v>
      </c>
      <c r="D19" s="272"/>
      <c r="E19" s="217"/>
    </row>
    <row r="20" spans="2:6" ht="13.5" thickBot="1">
      <c r="B20" s="105" t="s">
        <v>8</v>
      </c>
      <c r="C20" s="68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20569987.079999998</v>
      </c>
      <c r="E21" s="145">
        <f>E11-E17</f>
        <v>20206792.579999998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5.75" customHeight="1" thickBot="1">
      <c r="B24" s="355" t="s">
        <v>105</v>
      </c>
      <c r="C24" s="369"/>
      <c r="D24" s="369"/>
      <c r="E24" s="369"/>
    </row>
    <row r="25" spans="2:6" ht="13.5" thickBot="1">
      <c r="B25" s="134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20469519.77</v>
      </c>
      <c r="E26" s="206">
        <f>D21</f>
        <v>20569987.079999998</v>
      </c>
    </row>
    <row r="27" spans="2:6">
      <c r="B27" s="9" t="s">
        <v>17</v>
      </c>
      <c r="C27" s="10" t="s">
        <v>111</v>
      </c>
      <c r="D27" s="285">
        <v>-498774.24999999988</v>
      </c>
      <c r="E27" s="240">
        <v>-679388.69</v>
      </c>
      <c r="F27" s="70"/>
    </row>
    <row r="28" spans="2:6">
      <c r="B28" s="9" t="s">
        <v>18</v>
      </c>
      <c r="C28" s="10" t="s">
        <v>19</v>
      </c>
      <c r="D28" s="285">
        <v>706247.15</v>
      </c>
      <c r="E28" s="241">
        <v>639598.29</v>
      </c>
      <c r="F28" s="70"/>
    </row>
    <row r="29" spans="2:6">
      <c r="B29" s="101" t="s">
        <v>4</v>
      </c>
      <c r="C29" s="6" t="s">
        <v>20</v>
      </c>
      <c r="D29" s="286">
        <v>706247.15</v>
      </c>
      <c r="E29" s="242">
        <v>639598.29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1205021.3999999999</v>
      </c>
      <c r="E32" s="241">
        <v>1318986.98</v>
      </c>
      <c r="F32" s="70"/>
    </row>
    <row r="33" spans="2:6">
      <c r="B33" s="101" t="s">
        <v>4</v>
      </c>
      <c r="C33" s="6" t="s">
        <v>25</v>
      </c>
      <c r="D33" s="286">
        <v>1205021.3999999999</v>
      </c>
      <c r="E33" s="242">
        <v>1318986.98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/>
      <c r="E35" s="242"/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-377402.79</v>
      </c>
      <c r="E40" s="245">
        <v>316194.19</v>
      </c>
    </row>
    <row r="41" spans="2:6" ht="13.5" thickBot="1">
      <c r="B41" s="96" t="s">
        <v>37</v>
      </c>
      <c r="C41" s="97" t="s">
        <v>38</v>
      </c>
      <c r="D41" s="289">
        <v>19593342.73</v>
      </c>
      <c r="E41" s="145">
        <f>E26+E27+E40</f>
        <v>20206792.579999998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8" customHeight="1" thickBot="1">
      <c r="B44" s="355" t="s">
        <v>121</v>
      </c>
      <c r="C44" s="359"/>
      <c r="D44" s="359"/>
      <c r="E44" s="359"/>
    </row>
    <row r="45" spans="2:6" ht="13.5" thickBot="1">
      <c r="B45" s="134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99" t="s">
        <v>4</v>
      </c>
      <c r="C47" s="15" t="s">
        <v>40</v>
      </c>
      <c r="D47" s="299">
        <v>881307.81790000002</v>
      </c>
      <c r="E47" s="146">
        <v>856633.06259999995</v>
      </c>
    </row>
    <row r="48" spans="2:6">
      <c r="B48" s="120" t="s">
        <v>6</v>
      </c>
      <c r="C48" s="22" t="s">
        <v>41</v>
      </c>
      <c r="D48" s="299">
        <v>859206.39919999999</v>
      </c>
      <c r="E48" s="146">
        <v>828174.39029999997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99" t="s">
        <v>4</v>
      </c>
      <c r="C50" s="15" t="s">
        <v>40</v>
      </c>
      <c r="D50" s="299">
        <v>23.226299999999998</v>
      </c>
      <c r="E50" s="146">
        <v>24.012599999999999</v>
      </c>
    </row>
    <row r="51" spans="2:5">
      <c r="B51" s="99" t="s">
        <v>6</v>
      </c>
      <c r="C51" s="15" t="s">
        <v>114</v>
      </c>
      <c r="D51" s="299">
        <v>21.341799999999999</v>
      </c>
      <c r="E51" s="146">
        <v>23.0258</v>
      </c>
    </row>
    <row r="52" spans="2:5">
      <c r="B52" s="99" t="s">
        <v>8</v>
      </c>
      <c r="C52" s="15" t="s">
        <v>115</v>
      </c>
      <c r="D52" s="299">
        <v>24.155200000000001</v>
      </c>
      <c r="E52" s="72">
        <v>24.506499999999999</v>
      </c>
    </row>
    <row r="53" spans="2:5" ht="13.5" customHeight="1" thickBot="1">
      <c r="B53" s="100" t="s">
        <v>9</v>
      </c>
      <c r="C53" s="17" t="s">
        <v>41</v>
      </c>
      <c r="D53" s="297">
        <v>22.803999999999998</v>
      </c>
      <c r="E53" s="246">
        <v>24.3992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20206792.579999998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20206792.579999998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20206792.579999998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20206792.579999998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68" bottom="0.65" header="0.5" footer="0.5"/>
  <pageSetup paperSize="9" scale="70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6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83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25815889.300000001</v>
      </c>
      <c r="E11" s="211">
        <f>SUM(E12:E14)</f>
        <v>25596495.91</v>
      </c>
    </row>
    <row r="12" spans="2:5">
      <c r="B12" s="167" t="s">
        <v>4</v>
      </c>
      <c r="C12" s="168" t="s">
        <v>5</v>
      </c>
      <c r="D12" s="271">
        <v>25815889.300000001</v>
      </c>
      <c r="E12" s="216">
        <v>25596495.91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25815889.300000001</v>
      </c>
      <c r="E21" s="145">
        <f>E11-E17</f>
        <v>25596495.91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26495747.399999999</v>
      </c>
      <c r="E26" s="206">
        <f>D21</f>
        <v>25815889.300000001</v>
      </c>
    </row>
    <row r="27" spans="2:6">
      <c r="B27" s="9" t="s">
        <v>17</v>
      </c>
      <c r="C27" s="10" t="s">
        <v>111</v>
      </c>
      <c r="D27" s="285">
        <v>-710488.17000000016</v>
      </c>
      <c r="E27" s="240">
        <v>-645310.93000000005</v>
      </c>
      <c r="F27" s="70"/>
    </row>
    <row r="28" spans="2:6">
      <c r="B28" s="9" t="s">
        <v>18</v>
      </c>
      <c r="C28" s="10" t="s">
        <v>19</v>
      </c>
      <c r="D28" s="285">
        <v>900916.77</v>
      </c>
      <c r="E28" s="241">
        <v>801293.94</v>
      </c>
      <c r="F28" s="70"/>
    </row>
    <row r="29" spans="2:6">
      <c r="B29" s="175" t="s">
        <v>4</v>
      </c>
      <c r="C29" s="168" t="s">
        <v>20</v>
      </c>
      <c r="D29" s="286">
        <v>900916.77</v>
      </c>
      <c r="E29" s="242">
        <v>801293.94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1611404.9400000002</v>
      </c>
      <c r="E32" s="241">
        <v>1446604.87</v>
      </c>
      <c r="F32" s="70"/>
    </row>
    <row r="33" spans="2:6">
      <c r="B33" s="175" t="s">
        <v>4</v>
      </c>
      <c r="C33" s="168" t="s">
        <v>25</v>
      </c>
      <c r="D33" s="286">
        <v>1611404.9400000002</v>
      </c>
      <c r="E33" s="242">
        <v>1446604.87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-500058.31</v>
      </c>
      <c r="E40" s="245">
        <v>425917.54</v>
      </c>
    </row>
    <row r="41" spans="2:6" ht="13.5" thickBot="1">
      <c r="B41" s="96" t="s">
        <v>37</v>
      </c>
      <c r="C41" s="97" t="s">
        <v>38</v>
      </c>
      <c r="D41" s="289">
        <v>25285200.919999998</v>
      </c>
      <c r="E41" s="145">
        <f>E26+E27+E40</f>
        <v>25596495.91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346">
        <v>1081657.7492</v>
      </c>
      <c r="E47" s="146">
        <v>1019915.1899</v>
      </c>
    </row>
    <row r="48" spans="2:6">
      <c r="B48" s="180" t="s">
        <v>6</v>
      </c>
      <c r="C48" s="181" t="s">
        <v>41</v>
      </c>
      <c r="D48" s="346">
        <v>1051770.7927000001</v>
      </c>
      <c r="E48" s="146">
        <v>994525.3175</v>
      </c>
    </row>
    <row r="49" spans="2:5">
      <c r="B49" s="117" t="s">
        <v>23</v>
      </c>
      <c r="C49" s="121" t="s">
        <v>113</v>
      </c>
      <c r="D49" s="347"/>
      <c r="E49" s="146"/>
    </row>
    <row r="50" spans="2:5">
      <c r="B50" s="178" t="s">
        <v>4</v>
      </c>
      <c r="C50" s="179" t="s">
        <v>40</v>
      </c>
      <c r="D50" s="346">
        <v>24.4955</v>
      </c>
      <c r="E50" s="146">
        <v>25.311800000000002</v>
      </c>
    </row>
    <row r="51" spans="2:5">
      <c r="B51" s="178" t="s">
        <v>6</v>
      </c>
      <c r="C51" s="179" t="s">
        <v>114</v>
      </c>
      <c r="D51" s="346">
        <v>22.2988</v>
      </c>
      <c r="E51" s="72">
        <v>24.279</v>
      </c>
    </row>
    <row r="52" spans="2:5">
      <c r="B52" s="178" t="s">
        <v>8</v>
      </c>
      <c r="C52" s="179" t="s">
        <v>115</v>
      </c>
      <c r="D52" s="346">
        <v>25.5197</v>
      </c>
      <c r="E52" s="72">
        <v>25.855499999999999</v>
      </c>
    </row>
    <row r="53" spans="2:5" ht="13.5" customHeight="1" thickBot="1">
      <c r="B53" s="182" t="s">
        <v>9</v>
      </c>
      <c r="C53" s="183" t="s">
        <v>41</v>
      </c>
      <c r="D53" s="348">
        <v>24.040600000000001</v>
      </c>
      <c r="E53" s="246">
        <v>25.737400000000001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25596495.91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25596495.91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25596495.91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v>0</v>
      </c>
      <c r="E75" s="76">
        <v>0</v>
      </c>
    </row>
    <row r="76" spans="2:5">
      <c r="B76" s="99" t="s">
        <v>6</v>
      </c>
      <c r="C76" s="15" t="s">
        <v>119</v>
      </c>
      <c r="D76" s="75">
        <f>D74</f>
        <v>25596495.91</v>
      </c>
      <c r="E76" s="76">
        <f>E74</f>
        <v>1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6999999999999995" bottom="0.55000000000000004" header="0.5" footer="0.5"/>
  <pageSetup paperSize="9" scale="70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7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179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1173730.01</v>
      </c>
      <c r="E11" s="211">
        <f>SUM(E12:E14)</f>
        <v>1287309.01</v>
      </c>
    </row>
    <row r="12" spans="2:5">
      <c r="B12" s="167" t="s">
        <v>4</v>
      </c>
      <c r="C12" s="168" t="s">
        <v>5</v>
      </c>
      <c r="D12" s="271">
        <v>1173730.01</v>
      </c>
      <c r="E12" s="216">
        <v>1287309.01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1173730.01</v>
      </c>
      <c r="E21" s="145">
        <f>E11-E17</f>
        <v>1287309.01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1782520.5999999999</v>
      </c>
      <c r="E26" s="206">
        <f>D21</f>
        <v>1173730.01</v>
      </c>
    </row>
    <row r="27" spans="2:6">
      <c r="B27" s="9" t="s">
        <v>17</v>
      </c>
      <c r="C27" s="10" t="s">
        <v>111</v>
      </c>
      <c r="D27" s="285">
        <v>-462464.91</v>
      </c>
      <c r="E27" s="240">
        <v>-42336.35</v>
      </c>
      <c r="F27" s="70"/>
    </row>
    <row r="28" spans="2:6">
      <c r="B28" s="9" t="s">
        <v>18</v>
      </c>
      <c r="C28" s="10" t="s">
        <v>19</v>
      </c>
      <c r="D28" s="285">
        <v>61492.820000000007</v>
      </c>
      <c r="E28" s="241">
        <v>18790.95</v>
      </c>
      <c r="F28" s="70"/>
    </row>
    <row r="29" spans="2:6">
      <c r="B29" s="175" t="s">
        <v>4</v>
      </c>
      <c r="C29" s="168" t="s">
        <v>20</v>
      </c>
      <c r="D29" s="286">
        <v>13857.41</v>
      </c>
      <c r="E29" s="242">
        <v>12628.45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47635.41</v>
      </c>
      <c r="E31" s="242">
        <v>6162.5</v>
      </c>
      <c r="F31" s="70"/>
    </row>
    <row r="32" spans="2:6">
      <c r="B32" s="89" t="s">
        <v>23</v>
      </c>
      <c r="C32" s="11" t="s">
        <v>24</v>
      </c>
      <c r="D32" s="285">
        <v>523957.73</v>
      </c>
      <c r="E32" s="241">
        <v>61127.3</v>
      </c>
      <c r="F32" s="70"/>
    </row>
    <row r="33" spans="2:6">
      <c r="B33" s="175" t="s">
        <v>4</v>
      </c>
      <c r="C33" s="168" t="s">
        <v>25</v>
      </c>
      <c r="D33" s="286">
        <v>66766.929999999993</v>
      </c>
      <c r="E33" s="242">
        <v>33334.36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2371.36</v>
      </c>
      <c r="E35" s="242">
        <v>968.24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10488.9</v>
      </c>
      <c r="E37" s="242">
        <v>9351.36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444330.54</v>
      </c>
      <c r="E39" s="243">
        <v>17473.34</v>
      </c>
      <c r="F39" s="70"/>
    </row>
    <row r="40" spans="2:6" ht="13.5" thickBot="1">
      <c r="B40" s="94" t="s">
        <v>35</v>
      </c>
      <c r="C40" s="95" t="s">
        <v>36</v>
      </c>
      <c r="D40" s="288">
        <v>-305958.75</v>
      </c>
      <c r="E40" s="245">
        <v>155915.35</v>
      </c>
    </row>
    <row r="41" spans="2:6" ht="13.5" thickBot="1">
      <c r="B41" s="96" t="s">
        <v>37</v>
      </c>
      <c r="C41" s="97" t="s">
        <v>38</v>
      </c>
      <c r="D41" s="289">
        <v>1014096.94</v>
      </c>
      <c r="E41" s="145">
        <f>E26+E27+E40</f>
        <v>1287309.01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5862.2047869999997</v>
      </c>
      <c r="E47" s="146">
        <v>3599.736285</v>
      </c>
    </row>
    <row r="48" spans="2:6">
      <c r="B48" s="180" t="s">
        <v>6</v>
      </c>
      <c r="C48" s="181" t="s">
        <v>41</v>
      </c>
      <c r="D48" s="299">
        <v>3755.2191769999999</v>
      </c>
      <c r="E48" s="146">
        <v>3472.643685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304.07</v>
      </c>
      <c r="E50" s="146">
        <v>326.06</v>
      </c>
    </row>
    <row r="51" spans="2:5">
      <c r="B51" s="178" t="s">
        <v>6</v>
      </c>
      <c r="C51" s="179" t="s">
        <v>114</v>
      </c>
      <c r="D51" s="299">
        <v>207.64</v>
      </c>
      <c r="E51" s="72">
        <v>324.48</v>
      </c>
    </row>
    <row r="52" spans="2:5">
      <c r="B52" s="178" t="s">
        <v>8</v>
      </c>
      <c r="C52" s="179" t="s">
        <v>115</v>
      </c>
      <c r="D52" s="299">
        <v>312.81</v>
      </c>
      <c r="E52" s="72">
        <v>380.25</v>
      </c>
    </row>
    <row r="53" spans="2:5" ht="13.5" customHeight="1" thickBot="1">
      <c r="B53" s="182" t="s">
        <v>9</v>
      </c>
      <c r="C53" s="183" t="s">
        <v>41</v>
      </c>
      <c r="D53" s="297">
        <v>270.05</v>
      </c>
      <c r="E53" s="246">
        <v>370.7</v>
      </c>
    </row>
    <row r="54" spans="2:5">
      <c r="B54" s="106"/>
      <c r="C54" s="107"/>
      <c r="D54" s="108"/>
      <c r="E54" s="193"/>
    </row>
    <row r="55" spans="2:5" ht="13.5">
      <c r="B55" s="357" t="s">
        <v>62</v>
      </c>
      <c r="C55" s="358"/>
      <c r="D55" s="358"/>
      <c r="E55" s="358"/>
    </row>
    <row r="56" spans="2:5" ht="18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1287309.01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1287309.01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1287309.01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1287309.01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5" bottom="0.33" header="0.5" footer="0.5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G81"/>
  <sheetViews>
    <sheetView topLeftCell="A16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99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210"/>
      <c r="C10" s="198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84657160.230000004</v>
      </c>
      <c r="E11" s="211">
        <f>SUM(E12:E14)</f>
        <v>85929610.120000005</v>
      </c>
    </row>
    <row r="12" spans="2:7">
      <c r="B12" s="167" t="s">
        <v>4</v>
      </c>
      <c r="C12" s="214" t="s">
        <v>5</v>
      </c>
      <c r="D12" s="271">
        <f>85493859.47+373642.15-1324966.96</f>
        <v>84542534.660000011</v>
      </c>
      <c r="E12" s="216">
        <f>86643052.54+562750.42-1276582.2</f>
        <v>85929220.760000005</v>
      </c>
    </row>
    <row r="13" spans="2:7">
      <c r="B13" s="167" t="s">
        <v>6</v>
      </c>
      <c r="C13" s="214" t="s">
        <v>7</v>
      </c>
      <c r="D13" s="272"/>
      <c r="E13" s="217"/>
    </row>
    <row r="14" spans="2:7">
      <c r="B14" s="167" t="s">
        <v>8</v>
      </c>
      <c r="C14" s="214" t="s">
        <v>10</v>
      </c>
      <c r="D14" s="272">
        <f>D15</f>
        <v>114625.57</v>
      </c>
      <c r="E14" s="217">
        <f>E15</f>
        <v>389.36</v>
      </c>
    </row>
    <row r="15" spans="2:7">
      <c r="B15" s="167" t="s">
        <v>106</v>
      </c>
      <c r="C15" s="214" t="s">
        <v>11</v>
      </c>
      <c r="D15" s="272">
        <v>114625.57</v>
      </c>
      <c r="E15" s="217">
        <v>389.36</v>
      </c>
    </row>
    <row r="16" spans="2:7">
      <c r="B16" s="170" t="s">
        <v>107</v>
      </c>
      <c r="C16" s="215" t="s">
        <v>12</v>
      </c>
      <c r="D16" s="273"/>
      <c r="E16" s="218"/>
    </row>
    <row r="17" spans="2:6">
      <c r="B17" s="9" t="s">
        <v>13</v>
      </c>
      <c r="C17" s="190" t="s">
        <v>65</v>
      </c>
      <c r="D17" s="274">
        <f>D18</f>
        <v>36427.96</v>
      </c>
      <c r="E17" s="219">
        <f>E18</f>
        <v>37386.47</v>
      </c>
    </row>
    <row r="18" spans="2:6">
      <c r="B18" s="167" t="s">
        <v>4</v>
      </c>
      <c r="C18" s="214" t="s">
        <v>11</v>
      </c>
      <c r="D18" s="273">
        <v>36427.96</v>
      </c>
      <c r="E18" s="218">
        <v>37386.47</v>
      </c>
    </row>
    <row r="19" spans="2:6" ht="15" customHeight="1">
      <c r="B19" s="167" t="s">
        <v>6</v>
      </c>
      <c r="C19" s="214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f>D11-D17</f>
        <v>84620732.270000011</v>
      </c>
      <c r="E21" s="145">
        <f>E11-E17</f>
        <v>85892223.650000006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8"/>
      <c r="D23" s="368"/>
      <c r="E23" s="368"/>
    </row>
    <row r="24" spans="2:6" ht="17.25" customHeight="1" thickBot="1">
      <c r="B24" s="355" t="s">
        <v>105</v>
      </c>
      <c r="C24" s="369"/>
      <c r="D24" s="369"/>
      <c r="E24" s="369"/>
    </row>
    <row r="25" spans="2:6" ht="13.5" thickBot="1">
      <c r="B25" s="83"/>
      <c r="C25" s="5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78428958.989999995</v>
      </c>
      <c r="E26" s="206">
        <f>D21</f>
        <v>84620732.270000011</v>
      </c>
    </row>
    <row r="27" spans="2:6">
      <c r="B27" s="9" t="s">
        <v>17</v>
      </c>
      <c r="C27" s="10" t="s">
        <v>111</v>
      </c>
      <c r="D27" s="285">
        <v>1701340.92</v>
      </c>
      <c r="E27" s="240">
        <v>1637843.5899999989</v>
      </c>
      <c r="F27" s="70"/>
    </row>
    <row r="28" spans="2:6">
      <c r="B28" s="9" t="s">
        <v>18</v>
      </c>
      <c r="C28" s="10" t="s">
        <v>19</v>
      </c>
      <c r="D28" s="285">
        <v>10373517.949999999</v>
      </c>
      <c r="E28" s="241">
        <v>8300138.6399999997</v>
      </c>
      <c r="F28" s="70"/>
    </row>
    <row r="29" spans="2:6">
      <c r="B29" s="101" t="s">
        <v>4</v>
      </c>
      <c r="C29" s="6" t="s">
        <v>20</v>
      </c>
      <c r="D29" s="286">
        <v>8367145.3999999994</v>
      </c>
      <c r="E29" s="242">
        <v>7578159.0699999994</v>
      </c>
      <c r="F29" s="70"/>
    </row>
    <row r="30" spans="2:6">
      <c r="B30" s="101" t="s">
        <v>6</v>
      </c>
      <c r="C30" s="6" t="s">
        <v>21</v>
      </c>
      <c r="D30" s="286"/>
      <c r="E30" s="242"/>
      <c r="F30" s="70"/>
    </row>
    <row r="31" spans="2:6">
      <c r="B31" s="101" t="s">
        <v>8</v>
      </c>
      <c r="C31" s="6" t="s">
        <v>22</v>
      </c>
      <c r="D31" s="286">
        <v>2006372.55</v>
      </c>
      <c r="E31" s="242">
        <v>721979.57</v>
      </c>
      <c r="F31" s="70"/>
    </row>
    <row r="32" spans="2:6">
      <c r="B32" s="89" t="s">
        <v>23</v>
      </c>
      <c r="C32" s="11" t="s">
        <v>24</v>
      </c>
      <c r="D32" s="285">
        <v>8672177.0299999993</v>
      </c>
      <c r="E32" s="241">
        <v>6662295.0500000007</v>
      </c>
      <c r="F32" s="70"/>
    </row>
    <row r="33" spans="2:6">
      <c r="B33" s="101" t="s">
        <v>4</v>
      </c>
      <c r="C33" s="6" t="s">
        <v>25</v>
      </c>
      <c r="D33" s="286">
        <v>6308448.9099999992</v>
      </c>
      <c r="E33" s="242">
        <v>4361505.5200000005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741743.33</v>
      </c>
      <c r="E35" s="242">
        <v>737367.36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1621984.79</v>
      </c>
      <c r="E39" s="243">
        <v>1563422.17</v>
      </c>
      <c r="F39" s="70"/>
    </row>
    <row r="40" spans="2:6" ht="13.5" thickBot="1">
      <c r="B40" s="94" t="s">
        <v>35</v>
      </c>
      <c r="C40" s="95" t="s">
        <v>36</v>
      </c>
      <c r="D40" s="288">
        <v>407939.58</v>
      </c>
      <c r="E40" s="245">
        <v>-366352.21</v>
      </c>
    </row>
    <row r="41" spans="2:6" ht="13.5" thickBot="1">
      <c r="B41" s="96" t="s">
        <v>37</v>
      </c>
      <c r="C41" s="97" t="s">
        <v>38</v>
      </c>
      <c r="D41" s="289">
        <v>80538239.489999995</v>
      </c>
      <c r="E41" s="145">
        <f>E26+E27+E40</f>
        <v>85892223.650000021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7.2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6897366.5948000001</v>
      </c>
      <c r="E47" s="300">
        <v>7366784.1241999995</v>
      </c>
    </row>
    <row r="48" spans="2:6">
      <c r="B48" s="180" t="s">
        <v>6</v>
      </c>
      <c r="C48" s="181" t="s">
        <v>41</v>
      </c>
      <c r="D48" s="299">
        <v>7047305.0256000003</v>
      </c>
      <c r="E48" s="310">
        <v>7508838.3770000003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11.370900000000001</v>
      </c>
      <c r="E50" s="295">
        <v>11.486800000000001</v>
      </c>
    </row>
    <row r="51" spans="2:5">
      <c r="B51" s="178" t="s">
        <v>6</v>
      </c>
      <c r="C51" s="179" t="s">
        <v>114</v>
      </c>
      <c r="D51" s="299">
        <v>11.3017</v>
      </c>
      <c r="E51" s="296">
        <v>11.430899999999999</v>
      </c>
    </row>
    <row r="52" spans="2:5" ht="12.75" customHeight="1">
      <c r="B52" s="178" t="s">
        <v>8</v>
      </c>
      <c r="C52" s="179" t="s">
        <v>115</v>
      </c>
      <c r="D52" s="299">
        <v>11.4282</v>
      </c>
      <c r="E52" s="296">
        <v>11.5229</v>
      </c>
    </row>
    <row r="53" spans="2:5" ht="13.5" thickBot="1">
      <c r="B53" s="182" t="s">
        <v>9</v>
      </c>
      <c r="C53" s="183" t="s">
        <v>41</v>
      </c>
      <c r="D53" s="297">
        <v>11.4282</v>
      </c>
      <c r="E53" s="315">
        <v>11.438800000000001</v>
      </c>
    </row>
    <row r="54" spans="2:5">
      <c r="B54" s="184"/>
      <c r="C54" s="185"/>
      <c r="D54" s="108"/>
      <c r="E54" s="108"/>
    </row>
    <row r="55" spans="2:5" ht="13.5">
      <c r="B55" s="357" t="s">
        <v>62</v>
      </c>
      <c r="C55" s="366"/>
      <c r="D55" s="366"/>
      <c r="E55" s="366"/>
    </row>
    <row r="56" spans="2:5" ht="16.5" customHeight="1" thickBot="1">
      <c r="B56" s="355" t="s">
        <v>116</v>
      </c>
      <c r="C56" s="367"/>
      <c r="D56" s="367"/>
      <c r="E56" s="367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85929220.760000005</v>
      </c>
      <c r="E58" s="31">
        <f>D58/E21</f>
        <v>1.0004307387610636</v>
      </c>
    </row>
    <row r="59" spans="2:5" ht="25.5">
      <c r="B59" s="311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312" t="s">
        <v>6</v>
      </c>
      <c r="C60" s="179" t="s">
        <v>45</v>
      </c>
      <c r="D60" s="75">
        <v>0</v>
      </c>
      <c r="E60" s="76">
        <v>0</v>
      </c>
    </row>
    <row r="61" spans="2:5">
      <c r="B61" s="312" t="s">
        <v>8</v>
      </c>
      <c r="C61" s="179" t="s">
        <v>46</v>
      </c>
      <c r="D61" s="75">
        <v>0</v>
      </c>
      <c r="E61" s="76">
        <v>0</v>
      </c>
    </row>
    <row r="62" spans="2:5">
      <c r="B62" s="312" t="s">
        <v>9</v>
      </c>
      <c r="C62" s="179" t="s">
        <v>47</v>
      </c>
      <c r="D62" s="75">
        <v>0</v>
      </c>
      <c r="E62" s="76">
        <v>0</v>
      </c>
    </row>
    <row r="63" spans="2:5">
      <c r="B63" s="312" t="s">
        <v>29</v>
      </c>
      <c r="C63" s="179" t="s">
        <v>48</v>
      </c>
      <c r="D63" s="75">
        <v>0</v>
      </c>
      <c r="E63" s="76">
        <v>0</v>
      </c>
    </row>
    <row r="64" spans="2:5">
      <c r="B64" s="311" t="s">
        <v>31</v>
      </c>
      <c r="C64" s="181" t="s">
        <v>49</v>
      </c>
      <c r="D64" s="306">
        <f>86643052.54-1276582.2</f>
        <v>85366470.340000004</v>
      </c>
      <c r="E64" s="78">
        <f>D64/E21</f>
        <v>0.99387891839728848</v>
      </c>
    </row>
    <row r="65" spans="2:5">
      <c r="B65" s="311" t="s">
        <v>33</v>
      </c>
      <c r="C65" s="181" t="s">
        <v>118</v>
      </c>
      <c r="D65" s="77">
        <v>0</v>
      </c>
      <c r="E65" s="78">
        <v>0</v>
      </c>
    </row>
    <row r="66" spans="2:5">
      <c r="B66" s="311" t="s">
        <v>50</v>
      </c>
      <c r="C66" s="181" t="s">
        <v>51</v>
      </c>
      <c r="D66" s="77">
        <v>0</v>
      </c>
      <c r="E66" s="78">
        <v>0</v>
      </c>
    </row>
    <row r="67" spans="2:5">
      <c r="B67" s="312" t="s">
        <v>52</v>
      </c>
      <c r="C67" s="179" t="s">
        <v>53</v>
      </c>
      <c r="D67" s="75">
        <v>0</v>
      </c>
      <c r="E67" s="76">
        <v>0</v>
      </c>
    </row>
    <row r="68" spans="2:5">
      <c r="B68" s="312" t="s">
        <v>54</v>
      </c>
      <c r="C68" s="179" t="s">
        <v>55</v>
      </c>
      <c r="D68" s="75">
        <v>0</v>
      </c>
      <c r="E68" s="76">
        <v>0</v>
      </c>
    </row>
    <row r="69" spans="2:5">
      <c r="B69" s="312" t="s">
        <v>56</v>
      </c>
      <c r="C69" s="179" t="s">
        <v>57</v>
      </c>
      <c r="D69" s="298">
        <v>562750.42000000004</v>
      </c>
      <c r="E69" s="76">
        <f>D69/E21</f>
        <v>6.5518203637751557E-3</v>
      </c>
    </row>
    <row r="70" spans="2:5">
      <c r="B70" s="313" t="s">
        <v>58</v>
      </c>
      <c r="C70" s="207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389.36</v>
      </c>
      <c r="E72" s="116">
        <f>D72/E21</f>
        <v>4.5331228306137811E-6</v>
      </c>
    </row>
    <row r="73" spans="2:5">
      <c r="B73" s="23" t="s">
        <v>62</v>
      </c>
      <c r="C73" s="24" t="s">
        <v>65</v>
      </c>
      <c r="D73" s="25">
        <f>E17</f>
        <v>37386.47</v>
      </c>
      <c r="E73" s="26">
        <f>D73/E21</f>
        <v>4.3527188389422955E-4</v>
      </c>
    </row>
    <row r="74" spans="2:5">
      <c r="B74" s="117" t="s">
        <v>64</v>
      </c>
      <c r="C74" s="118" t="s">
        <v>66</v>
      </c>
      <c r="D74" s="119">
        <f>D58+D71+D72-D73</f>
        <v>85892223.650000006</v>
      </c>
      <c r="E74" s="65">
        <f>E58+E72-E73</f>
        <v>1</v>
      </c>
    </row>
    <row r="75" spans="2:5">
      <c r="B75" s="312" t="s">
        <v>4</v>
      </c>
      <c r="C75" s="179" t="s">
        <v>67</v>
      </c>
      <c r="D75" s="75">
        <f>D74</f>
        <v>85892223.650000006</v>
      </c>
      <c r="E75" s="76">
        <f>E74</f>
        <v>1</v>
      </c>
    </row>
    <row r="76" spans="2:5">
      <c r="B76" s="312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314" t="s">
        <v>8</v>
      </c>
      <c r="C77" s="183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61" bottom="0.55000000000000004" header="0.5" footer="0.5"/>
  <pageSetup paperSize="9" scale="70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8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180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1042910.51</v>
      </c>
      <c r="E11" s="211">
        <f>SUM(E12:E14)</f>
        <v>980797.45</v>
      </c>
    </row>
    <row r="12" spans="2:5">
      <c r="B12" s="167" t="s">
        <v>4</v>
      </c>
      <c r="C12" s="168" t="s">
        <v>5</v>
      </c>
      <c r="D12" s="271">
        <v>1042910.51</v>
      </c>
      <c r="E12" s="216">
        <v>980797.45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1042910.51</v>
      </c>
      <c r="E21" s="145">
        <f>E11-E17</f>
        <v>980797.45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1076420.6200000001</v>
      </c>
      <c r="E26" s="206">
        <f>D21</f>
        <v>1042910.51</v>
      </c>
    </row>
    <row r="27" spans="2:6">
      <c r="B27" s="9" t="s">
        <v>17</v>
      </c>
      <c r="C27" s="10" t="s">
        <v>111</v>
      </c>
      <c r="D27" s="285">
        <v>21919.01999999996</v>
      </c>
      <c r="E27" s="240">
        <v>-56436.03</v>
      </c>
      <c r="F27" s="70"/>
    </row>
    <row r="28" spans="2:6">
      <c r="B28" s="9" t="s">
        <v>18</v>
      </c>
      <c r="C28" s="10" t="s">
        <v>19</v>
      </c>
      <c r="D28" s="285">
        <v>286773.84999999998</v>
      </c>
      <c r="E28" s="241">
        <v>129639.57</v>
      </c>
      <c r="F28" s="70"/>
    </row>
    <row r="29" spans="2:6">
      <c r="B29" s="175" t="s">
        <v>4</v>
      </c>
      <c r="C29" s="168" t="s">
        <v>20</v>
      </c>
      <c r="D29" s="286">
        <v>9468.7900000000009</v>
      </c>
      <c r="E29" s="242">
        <v>15685.44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277305.06</v>
      </c>
      <c r="E31" s="242">
        <v>113954.13</v>
      </c>
      <c r="F31" s="70"/>
    </row>
    <row r="32" spans="2:6">
      <c r="B32" s="89" t="s">
        <v>23</v>
      </c>
      <c r="C32" s="11" t="s">
        <v>24</v>
      </c>
      <c r="D32" s="285">
        <v>264854.83</v>
      </c>
      <c r="E32" s="241">
        <v>186075.6</v>
      </c>
      <c r="F32" s="70"/>
    </row>
    <row r="33" spans="2:6">
      <c r="B33" s="175" t="s">
        <v>4</v>
      </c>
      <c r="C33" s="168" t="s">
        <v>25</v>
      </c>
      <c r="D33" s="286">
        <v>80015.03</v>
      </c>
      <c r="E33" s="242">
        <v>63510.020000000004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2906.03</v>
      </c>
      <c r="E35" s="242">
        <v>1999.18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7538.95</v>
      </c>
      <c r="E37" s="242">
        <v>7222.87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174394.82</v>
      </c>
      <c r="E39" s="243">
        <v>113343.53</v>
      </c>
      <c r="F39" s="70"/>
    </row>
    <row r="40" spans="2:6" ht="13.5" thickBot="1">
      <c r="B40" s="94" t="s">
        <v>35</v>
      </c>
      <c r="C40" s="95" t="s">
        <v>36</v>
      </c>
      <c r="D40" s="288">
        <v>58932.89</v>
      </c>
      <c r="E40" s="245">
        <v>-5677.03</v>
      </c>
    </row>
    <row r="41" spans="2:6" ht="13.5" thickBot="1">
      <c r="B41" s="96" t="s">
        <v>37</v>
      </c>
      <c r="C41" s="97" t="s">
        <v>38</v>
      </c>
      <c r="D41" s="289">
        <v>1157272.53</v>
      </c>
      <c r="E41" s="145">
        <f>E26+E27+E40</f>
        <v>980797.45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3294.6272800000002</v>
      </c>
      <c r="E47" s="146">
        <v>2958.8631810000002</v>
      </c>
    </row>
    <row r="48" spans="2:6">
      <c r="B48" s="180" t="s">
        <v>6</v>
      </c>
      <c r="C48" s="181" t="s">
        <v>41</v>
      </c>
      <c r="D48" s="299">
        <v>3349.7525999999998</v>
      </c>
      <c r="E48" s="146">
        <v>2796.445831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326.72000000000003</v>
      </c>
      <c r="E50" s="146">
        <v>352.47</v>
      </c>
    </row>
    <row r="51" spans="2:5">
      <c r="B51" s="178" t="s">
        <v>6</v>
      </c>
      <c r="C51" s="179" t="s">
        <v>114</v>
      </c>
      <c r="D51" s="299">
        <v>325.04000000000002</v>
      </c>
      <c r="E51" s="72">
        <v>348.35</v>
      </c>
    </row>
    <row r="52" spans="2:5">
      <c r="B52" s="178" t="s">
        <v>8</v>
      </c>
      <c r="C52" s="179" t="s">
        <v>115</v>
      </c>
      <c r="D52" s="299">
        <v>345.64</v>
      </c>
      <c r="E52" s="72">
        <v>354.82</v>
      </c>
    </row>
    <row r="53" spans="2:5" ht="12.75" customHeight="1" thickBot="1">
      <c r="B53" s="182" t="s">
        <v>9</v>
      </c>
      <c r="C53" s="183" t="s">
        <v>41</v>
      </c>
      <c r="D53" s="297">
        <v>345.48</v>
      </c>
      <c r="E53" s="246">
        <v>350.73</v>
      </c>
    </row>
    <row r="54" spans="2:5">
      <c r="B54" s="106"/>
      <c r="C54" s="107"/>
      <c r="D54" s="108"/>
      <c r="E54" s="193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980797.45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980797.45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980797.45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980797.45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1" bottom="0.6" header="0.5" footer="0.5"/>
  <pageSetup paperSize="9" scale="70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9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233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16257.28</v>
      </c>
      <c r="E11" s="211">
        <f>SUM(E12:E14)</f>
        <v>16827.8</v>
      </c>
    </row>
    <row r="12" spans="2:5">
      <c r="B12" s="167" t="s">
        <v>4</v>
      </c>
      <c r="C12" s="168" t="s">
        <v>5</v>
      </c>
      <c r="D12" s="271">
        <v>16257.28</v>
      </c>
      <c r="E12" s="216">
        <v>16827.8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16257.28</v>
      </c>
      <c r="E21" s="145">
        <f>E11-E17</f>
        <v>16827.8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16385.25</v>
      </c>
      <c r="E26" s="206">
        <f>D21</f>
        <v>16257.28</v>
      </c>
    </row>
    <row r="27" spans="2:6">
      <c r="B27" s="9" t="s">
        <v>17</v>
      </c>
      <c r="C27" s="10" t="s">
        <v>111</v>
      </c>
      <c r="D27" s="285">
        <v>-2573.3799999999997</v>
      </c>
      <c r="E27" s="240">
        <v>-1655.71</v>
      </c>
      <c r="F27" s="70"/>
    </row>
    <row r="28" spans="2:6">
      <c r="B28" s="9" t="s">
        <v>18</v>
      </c>
      <c r="C28" s="10" t="s">
        <v>19</v>
      </c>
      <c r="D28" s="285">
        <v>663.9</v>
      </c>
      <c r="E28" s="241">
        <v>579.66999999999996</v>
      </c>
      <c r="F28" s="70"/>
    </row>
    <row r="29" spans="2:6">
      <c r="B29" s="175" t="s">
        <v>4</v>
      </c>
      <c r="C29" s="168" t="s">
        <v>20</v>
      </c>
      <c r="D29" s="286">
        <v>663.9</v>
      </c>
      <c r="E29" s="242">
        <v>579.66999999999996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3237.2799999999997</v>
      </c>
      <c r="E32" s="241">
        <v>2235.38</v>
      </c>
      <c r="F32" s="70"/>
    </row>
    <row r="33" spans="2:6">
      <c r="B33" s="175" t="s">
        <v>4</v>
      </c>
      <c r="C33" s="168" t="s">
        <v>25</v>
      </c>
      <c r="D33" s="286">
        <v>1061.49</v>
      </c>
      <c r="E33" s="242">
        <v>1970.6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82.48</v>
      </c>
      <c r="E35" s="242">
        <v>113.34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90.23</v>
      </c>
      <c r="E37" s="242">
        <v>151.44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2003.08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-989.06</v>
      </c>
      <c r="E40" s="245">
        <v>2226.23</v>
      </c>
    </row>
    <row r="41" spans="2:6" ht="13.5" thickBot="1">
      <c r="B41" s="96" t="s">
        <v>37</v>
      </c>
      <c r="C41" s="97" t="s">
        <v>38</v>
      </c>
      <c r="D41" s="289">
        <v>12822.810000000001</v>
      </c>
      <c r="E41" s="145">
        <f>E26+E27+E40</f>
        <v>16827.8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113.62861700000001</v>
      </c>
      <c r="E47" s="146">
        <v>99.033127000000007</v>
      </c>
    </row>
    <row r="48" spans="2:6">
      <c r="B48" s="180" t="s">
        <v>6</v>
      </c>
      <c r="C48" s="181" t="s">
        <v>41</v>
      </c>
      <c r="D48" s="299">
        <v>95.642686999999995</v>
      </c>
      <c r="E48" s="146">
        <v>90.676787000000004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144.19999999999999</v>
      </c>
      <c r="E50" s="146">
        <v>164.16</v>
      </c>
    </row>
    <row r="51" spans="2:5">
      <c r="B51" s="178" t="s">
        <v>6</v>
      </c>
      <c r="C51" s="179" t="s">
        <v>114</v>
      </c>
      <c r="D51" s="299">
        <v>103.79</v>
      </c>
      <c r="E51" s="72">
        <v>162.46</v>
      </c>
    </row>
    <row r="52" spans="2:5">
      <c r="B52" s="178" t="s">
        <v>8</v>
      </c>
      <c r="C52" s="179" t="s">
        <v>115</v>
      </c>
      <c r="D52" s="299">
        <v>150.69</v>
      </c>
      <c r="E52" s="72">
        <v>189.2</v>
      </c>
    </row>
    <row r="53" spans="2:5" ht="13.5" customHeight="1" thickBot="1">
      <c r="B53" s="182" t="s">
        <v>9</v>
      </c>
      <c r="C53" s="183" t="s">
        <v>41</v>
      </c>
      <c r="D53" s="297">
        <v>134.07</v>
      </c>
      <c r="E53" s="246">
        <v>185.58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16827.8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16827.8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16827.8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16827.8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56000000000000005" header="0.5" footer="0.5"/>
  <pageSetup paperSize="9" scale="70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0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181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18957.599999999999</v>
      </c>
      <c r="E11" s="211">
        <f>SUM(E12:E14)</f>
        <v>22926.639999999999</v>
      </c>
    </row>
    <row r="12" spans="2:5">
      <c r="B12" s="167" t="s">
        <v>4</v>
      </c>
      <c r="C12" s="168" t="s">
        <v>5</v>
      </c>
      <c r="D12" s="271">
        <v>18957.599999999999</v>
      </c>
      <c r="E12" s="216">
        <v>22926.639999999999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18957.599999999999</v>
      </c>
      <c r="E21" s="145">
        <f>E11-E17</f>
        <v>22926.639999999999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16010.75</v>
      </c>
      <c r="E26" s="206">
        <f>D21</f>
        <v>18957.599999999999</v>
      </c>
    </row>
    <row r="27" spans="2:6">
      <c r="B27" s="9" t="s">
        <v>17</v>
      </c>
      <c r="C27" s="10" t="s">
        <v>111</v>
      </c>
      <c r="D27" s="285">
        <v>-100.57</v>
      </c>
      <c r="E27" s="240">
        <v>-205.76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100.57</v>
      </c>
      <c r="E32" s="241">
        <v>205.76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14.69</v>
      </c>
      <c r="E35" s="242">
        <v>24.53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85.88</v>
      </c>
      <c r="E37" s="242">
        <v>181.23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-192.17</v>
      </c>
      <c r="E40" s="245">
        <v>4174.8</v>
      </c>
    </row>
    <row r="41" spans="2:6" ht="13.5" thickBot="1">
      <c r="B41" s="96" t="s">
        <v>37</v>
      </c>
      <c r="C41" s="97" t="s">
        <v>38</v>
      </c>
      <c r="D41" s="289">
        <v>15718.01</v>
      </c>
      <c r="E41" s="145">
        <f>E26+E27+E40</f>
        <v>22926.639999999999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83.77328</v>
      </c>
      <c r="E47" s="146">
        <v>82.686779999999999</v>
      </c>
    </row>
    <row r="48" spans="2:6">
      <c r="B48" s="180" t="s">
        <v>6</v>
      </c>
      <c r="C48" s="181" t="s">
        <v>41</v>
      </c>
      <c r="D48" s="299">
        <v>83.199290000000005</v>
      </c>
      <c r="E48" s="146">
        <v>81.860399999999998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191.12</v>
      </c>
      <c r="E50" s="146">
        <v>229.27</v>
      </c>
    </row>
    <row r="51" spans="2:5">
      <c r="B51" s="178" t="s">
        <v>6</v>
      </c>
      <c r="C51" s="179" t="s">
        <v>114</v>
      </c>
      <c r="D51" s="299">
        <v>144.97</v>
      </c>
      <c r="E51" s="72">
        <v>229.27</v>
      </c>
    </row>
    <row r="52" spans="2:5">
      <c r="B52" s="178" t="s">
        <v>8</v>
      </c>
      <c r="C52" s="179" t="s">
        <v>115</v>
      </c>
      <c r="D52" s="299">
        <v>202.27</v>
      </c>
      <c r="E52" s="72">
        <v>286.99</v>
      </c>
    </row>
    <row r="53" spans="2:5" ht="14.25" customHeight="1" thickBot="1">
      <c r="B53" s="182" t="s">
        <v>9</v>
      </c>
      <c r="C53" s="183" t="s">
        <v>41</v>
      </c>
      <c r="D53" s="297">
        <v>188.92</v>
      </c>
      <c r="E53" s="246">
        <v>280.07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22926.639999999999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22926.639999999999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22926.639999999999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22926.639999999999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1">
    <pageSetUpPr fitToPage="1"/>
  </sheetPr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182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3153633.93</v>
      </c>
      <c r="E11" s="211">
        <f>SUM(E12:E14)</f>
        <v>3061294.16</v>
      </c>
    </row>
    <row r="12" spans="2:5">
      <c r="B12" s="167" t="s">
        <v>4</v>
      </c>
      <c r="C12" s="168" t="s">
        <v>5</v>
      </c>
      <c r="D12" s="271">
        <v>3153633.93</v>
      </c>
      <c r="E12" s="216">
        <v>3061294.16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3153633.93</v>
      </c>
      <c r="E21" s="145">
        <f>E11-E17</f>
        <v>3061294.16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4523465.21</v>
      </c>
      <c r="E26" s="206">
        <f>D21</f>
        <v>3153633.93</v>
      </c>
    </row>
    <row r="27" spans="2:6">
      <c r="B27" s="9" t="s">
        <v>17</v>
      </c>
      <c r="C27" s="10" t="s">
        <v>111</v>
      </c>
      <c r="D27" s="285">
        <v>-1001834.31</v>
      </c>
      <c r="E27" s="240">
        <v>-486233.91</v>
      </c>
      <c r="F27" s="70"/>
    </row>
    <row r="28" spans="2:6">
      <c r="B28" s="9" t="s">
        <v>18</v>
      </c>
      <c r="C28" s="10" t="s">
        <v>19</v>
      </c>
      <c r="D28" s="285">
        <v>2992.98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2992.98</v>
      </c>
      <c r="E31" s="242"/>
      <c r="F31" s="70"/>
    </row>
    <row r="32" spans="2:6">
      <c r="B32" s="89" t="s">
        <v>23</v>
      </c>
      <c r="C32" s="11" t="s">
        <v>24</v>
      </c>
      <c r="D32" s="285">
        <v>1004827.29</v>
      </c>
      <c r="E32" s="241">
        <v>486233.91</v>
      </c>
      <c r="F32" s="70"/>
    </row>
    <row r="33" spans="2:6">
      <c r="B33" s="175" t="s">
        <v>4</v>
      </c>
      <c r="C33" s="168" t="s">
        <v>25</v>
      </c>
      <c r="D33" s="286">
        <v>961416.02</v>
      </c>
      <c r="E33" s="242">
        <v>447344.22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14350.66</v>
      </c>
      <c r="E35" s="242">
        <v>9221.65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29060.61</v>
      </c>
      <c r="E37" s="242">
        <v>24519.73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5148.3100000000004</v>
      </c>
      <c r="F39" s="70"/>
    </row>
    <row r="40" spans="2:6" ht="13.5" thickBot="1">
      <c r="B40" s="94" t="s">
        <v>35</v>
      </c>
      <c r="C40" s="95" t="s">
        <v>36</v>
      </c>
      <c r="D40" s="288">
        <v>-534720.01</v>
      </c>
      <c r="E40" s="245">
        <v>393894.14</v>
      </c>
    </row>
    <row r="41" spans="2:6" ht="13.5" thickBot="1">
      <c r="B41" s="96" t="s">
        <v>37</v>
      </c>
      <c r="C41" s="97" t="s">
        <v>38</v>
      </c>
      <c r="D41" s="289">
        <v>2986910.8899999997</v>
      </c>
      <c r="E41" s="145">
        <f>E26+E27+E40</f>
        <v>3061294.16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24924.046539999999</v>
      </c>
      <c r="E47" s="146">
        <v>18575.91994</v>
      </c>
    </row>
    <row r="48" spans="2:6">
      <c r="B48" s="180" t="s">
        <v>6</v>
      </c>
      <c r="C48" s="181" t="s">
        <v>41</v>
      </c>
      <c r="D48" s="299">
        <v>18859.141869999999</v>
      </c>
      <c r="E48" s="146">
        <v>15819.824070000001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181.49</v>
      </c>
      <c r="E50" s="146">
        <v>169.77</v>
      </c>
    </row>
    <row r="51" spans="2:5">
      <c r="B51" s="178" t="s">
        <v>6</v>
      </c>
      <c r="C51" s="179" t="s">
        <v>114</v>
      </c>
      <c r="D51" s="299">
        <v>122.21</v>
      </c>
      <c r="E51" s="72">
        <v>168.25</v>
      </c>
    </row>
    <row r="52" spans="2:5">
      <c r="B52" s="178" t="s">
        <v>8</v>
      </c>
      <c r="C52" s="179" t="s">
        <v>115</v>
      </c>
      <c r="D52" s="299">
        <v>189.48</v>
      </c>
      <c r="E52" s="72">
        <v>196.59</v>
      </c>
    </row>
    <row r="53" spans="2:5" ht="12.75" customHeight="1" thickBot="1">
      <c r="B53" s="182" t="s">
        <v>9</v>
      </c>
      <c r="C53" s="183" t="s">
        <v>41</v>
      </c>
      <c r="D53" s="297">
        <v>158.38</v>
      </c>
      <c r="E53" s="246">
        <v>193.51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3061294.16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3061294.16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3061294.16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3061294.16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2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183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4994971.47</v>
      </c>
      <c r="E11" s="211">
        <f>SUM(E12:E14)</f>
        <v>4688748.0999999996</v>
      </c>
    </row>
    <row r="12" spans="2:5">
      <c r="B12" s="167" t="s">
        <v>4</v>
      </c>
      <c r="C12" s="168" t="s">
        <v>5</v>
      </c>
      <c r="D12" s="271">
        <v>4994971.47</v>
      </c>
      <c r="E12" s="216">
        <v>4688748.0999999996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4994971.47</v>
      </c>
      <c r="E21" s="145">
        <f>E11-E17</f>
        <v>4688748.0999999996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6222312.5700000003</v>
      </c>
      <c r="E26" s="206">
        <f>D21</f>
        <v>4994971.47</v>
      </c>
    </row>
    <row r="27" spans="2:6">
      <c r="B27" s="9" t="s">
        <v>17</v>
      </c>
      <c r="C27" s="10" t="s">
        <v>111</v>
      </c>
      <c r="D27" s="285">
        <v>-1247880.24</v>
      </c>
      <c r="E27" s="240">
        <v>-439898.05</v>
      </c>
      <c r="F27" s="70"/>
    </row>
    <row r="28" spans="2:6">
      <c r="B28" s="9" t="s">
        <v>18</v>
      </c>
      <c r="C28" s="10" t="s">
        <v>19</v>
      </c>
      <c r="D28" s="285">
        <v>300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300</v>
      </c>
      <c r="E31" s="242"/>
      <c r="F31" s="70"/>
    </row>
    <row r="32" spans="2:6">
      <c r="B32" s="89" t="s">
        <v>23</v>
      </c>
      <c r="C32" s="11" t="s">
        <v>24</v>
      </c>
      <c r="D32" s="285">
        <v>1248180.24</v>
      </c>
      <c r="E32" s="241">
        <v>439898.05</v>
      </c>
      <c r="F32" s="70"/>
    </row>
    <row r="33" spans="2:6">
      <c r="B33" s="175" t="s">
        <v>4</v>
      </c>
      <c r="C33" s="168" t="s">
        <v>25</v>
      </c>
      <c r="D33" s="286">
        <v>1187330.53</v>
      </c>
      <c r="E33" s="242">
        <v>394864.05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10489.41</v>
      </c>
      <c r="E35" s="242">
        <v>7584.51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48030.46</v>
      </c>
      <c r="E37" s="242">
        <v>37449.49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2329.84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-325517.39</v>
      </c>
      <c r="E40" s="245">
        <v>133674.68</v>
      </c>
    </row>
    <row r="41" spans="2:6" ht="13.5" thickBot="1">
      <c r="B41" s="96" t="s">
        <v>37</v>
      </c>
      <c r="C41" s="97" t="s">
        <v>38</v>
      </c>
      <c r="D41" s="289">
        <v>4648914.9400000004</v>
      </c>
      <c r="E41" s="145">
        <f>E26+E27+E40</f>
        <v>4688748.0999999996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33056.965250000001</v>
      </c>
      <c r="E47" s="146">
        <v>25624.436819999999</v>
      </c>
    </row>
    <row r="48" spans="2:6">
      <c r="B48" s="180" t="s">
        <v>6</v>
      </c>
      <c r="C48" s="181" t="s">
        <v>41</v>
      </c>
      <c r="D48" s="299">
        <v>26140.997169999999</v>
      </c>
      <c r="E48" s="146">
        <v>23379.44702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188.23</v>
      </c>
      <c r="E50" s="146">
        <v>194.93</v>
      </c>
    </row>
    <row r="51" spans="2:5">
      <c r="B51" s="178" t="s">
        <v>6</v>
      </c>
      <c r="C51" s="179" t="s">
        <v>114</v>
      </c>
      <c r="D51" s="299">
        <v>150.76</v>
      </c>
      <c r="E51" s="146">
        <v>194.93</v>
      </c>
    </row>
    <row r="52" spans="2:5">
      <c r="B52" s="178" t="s">
        <v>8</v>
      </c>
      <c r="C52" s="179" t="s">
        <v>115</v>
      </c>
      <c r="D52" s="299">
        <v>189.87</v>
      </c>
      <c r="E52" s="72">
        <v>200.71</v>
      </c>
    </row>
    <row r="53" spans="2:5" ht="13.5" customHeight="1" thickBot="1">
      <c r="B53" s="182" t="s">
        <v>9</v>
      </c>
      <c r="C53" s="183" t="s">
        <v>41</v>
      </c>
      <c r="D53" s="297">
        <v>177.84</v>
      </c>
      <c r="E53" s="246">
        <v>200.55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4688748.0999999996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4688748.0999999996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4688748.0999999996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4688748.0999999996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3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184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3763913.8200000003</v>
      </c>
      <c r="E11" s="211">
        <f>SUM(E12:E14)</f>
        <v>3760981.42</v>
      </c>
    </row>
    <row r="12" spans="2:5">
      <c r="B12" s="167" t="s">
        <v>4</v>
      </c>
      <c r="C12" s="168" t="s">
        <v>5</v>
      </c>
      <c r="D12" s="271">
        <v>3763913.8200000003</v>
      </c>
      <c r="E12" s="216">
        <v>3760981.42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3763913.8200000003</v>
      </c>
      <c r="E21" s="145">
        <f>E11-E17</f>
        <v>3760981.42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5901768.1600000001</v>
      </c>
      <c r="E26" s="206">
        <f>D21</f>
        <v>3763913.8200000003</v>
      </c>
    </row>
    <row r="27" spans="2:6">
      <c r="B27" s="9" t="s">
        <v>17</v>
      </c>
      <c r="C27" s="10" t="s">
        <v>111</v>
      </c>
      <c r="D27" s="285">
        <v>-964533.74</v>
      </c>
      <c r="E27" s="240">
        <v>-534247.22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964533.74</v>
      </c>
      <c r="E32" s="241">
        <v>534247.22</v>
      </c>
      <c r="F32" s="70"/>
    </row>
    <row r="33" spans="2:6">
      <c r="B33" s="175" t="s">
        <v>4</v>
      </c>
      <c r="C33" s="168" t="s">
        <v>25</v>
      </c>
      <c r="D33" s="286">
        <v>549791.41999999993</v>
      </c>
      <c r="E33" s="242">
        <v>495913.97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11401.78</v>
      </c>
      <c r="E35" s="242">
        <v>1764.17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38767.550000000003</v>
      </c>
      <c r="E37" s="242">
        <v>31344.86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364572.99</v>
      </c>
      <c r="E39" s="243">
        <v>5224.22</v>
      </c>
      <c r="F39" s="70"/>
    </row>
    <row r="40" spans="2:6" ht="13.5" thickBot="1">
      <c r="B40" s="94" t="s">
        <v>35</v>
      </c>
      <c r="C40" s="95" t="s">
        <v>36</v>
      </c>
      <c r="D40" s="288">
        <v>-937667.27</v>
      </c>
      <c r="E40" s="245">
        <v>531314.81999999995</v>
      </c>
    </row>
    <row r="41" spans="2:6" ht="13.5" thickBot="1">
      <c r="B41" s="96" t="s">
        <v>37</v>
      </c>
      <c r="C41" s="97" t="s">
        <v>38</v>
      </c>
      <c r="D41" s="289">
        <v>3999567.15</v>
      </c>
      <c r="E41" s="145">
        <f>E26+E27+E40</f>
        <v>3760981.4200000004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22821.11349</v>
      </c>
      <c r="E47" s="146">
        <v>15739.373689999999</v>
      </c>
    </row>
    <row r="48" spans="2:6">
      <c r="B48" s="180" t="s">
        <v>6</v>
      </c>
      <c r="C48" s="181" t="s">
        <v>41</v>
      </c>
      <c r="D48" s="299">
        <v>18179.85066</v>
      </c>
      <c r="E48" s="146">
        <v>13732.223666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258.61</v>
      </c>
      <c r="E50" s="146">
        <v>239.14</v>
      </c>
    </row>
    <row r="51" spans="2:5">
      <c r="B51" s="178" t="s">
        <v>6</v>
      </c>
      <c r="C51" s="179" t="s">
        <v>114</v>
      </c>
      <c r="D51" s="299">
        <v>176.86</v>
      </c>
      <c r="E51" s="72">
        <v>238.98</v>
      </c>
    </row>
    <row r="52" spans="2:5">
      <c r="B52" s="178" t="s">
        <v>8</v>
      </c>
      <c r="C52" s="179" t="s">
        <v>115</v>
      </c>
      <c r="D52" s="299">
        <v>269.08</v>
      </c>
      <c r="E52" s="72">
        <v>274.99</v>
      </c>
    </row>
    <row r="53" spans="2:5" ht="13.5" customHeight="1" thickBot="1">
      <c r="B53" s="182" t="s">
        <v>9</v>
      </c>
      <c r="C53" s="183" t="s">
        <v>41</v>
      </c>
      <c r="D53" s="297">
        <v>220</v>
      </c>
      <c r="E53" s="246">
        <v>273.88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3760981.42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E12</f>
        <v>3760981.42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f>E17</f>
        <v>0</v>
      </c>
      <c r="E73" s="26">
        <f>D73/E21</f>
        <v>0</v>
      </c>
    </row>
    <row r="74" spans="2:5">
      <c r="B74" s="127" t="s">
        <v>64</v>
      </c>
      <c r="C74" s="118" t="s">
        <v>66</v>
      </c>
      <c r="D74" s="119">
        <f>D58-D73</f>
        <v>3760981.42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3760981.42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4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185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653808.55000000005</v>
      </c>
      <c r="E11" s="211">
        <f>SUM(E12:E14)</f>
        <v>634469.07999999996</v>
      </c>
    </row>
    <row r="12" spans="2:5">
      <c r="B12" s="167" t="s">
        <v>4</v>
      </c>
      <c r="C12" s="168" t="s">
        <v>5</v>
      </c>
      <c r="D12" s="271">
        <v>653808.55000000005</v>
      </c>
      <c r="E12" s="216">
        <v>634469.07999999996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653808.55000000005</v>
      </c>
      <c r="E21" s="145">
        <f>E11-E17</f>
        <v>634469.07999999996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3708226.65</v>
      </c>
      <c r="E26" s="206">
        <f>D21</f>
        <v>653808.55000000005</v>
      </c>
    </row>
    <row r="27" spans="2:6">
      <c r="B27" s="9" t="s">
        <v>17</v>
      </c>
      <c r="C27" s="10" t="s">
        <v>111</v>
      </c>
      <c r="D27" s="285">
        <v>-1961556.75</v>
      </c>
      <c r="E27" s="240">
        <v>-118323.99</v>
      </c>
      <c r="F27" s="70"/>
    </row>
    <row r="28" spans="2:6">
      <c r="B28" s="9" t="s">
        <v>18</v>
      </c>
      <c r="C28" s="10" t="s">
        <v>19</v>
      </c>
      <c r="D28" s="285">
        <v>20073.400000000001</v>
      </c>
      <c r="E28" s="241">
        <v>22668.73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20073.400000000001</v>
      </c>
      <c r="E31" s="242">
        <v>22668.73</v>
      </c>
      <c r="F31" s="70"/>
    </row>
    <row r="32" spans="2:6">
      <c r="B32" s="89" t="s">
        <v>23</v>
      </c>
      <c r="C32" s="11" t="s">
        <v>24</v>
      </c>
      <c r="D32" s="285">
        <v>1981630.15</v>
      </c>
      <c r="E32" s="241">
        <v>140992.72</v>
      </c>
      <c r="F32" s="70"/>
    </row>
    <row r="33" spans="2:6">
      <c r="B33" s="175" t="s">
        <v>4</v>
      </c>
      <c r="C33" s="168" t="s">
        <v>25</v>
      </c>
      <c r="D33" s="286">
        <v>39495.75</v>
      </c>
      <c r="E33" s="242">
        <v>134866.53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1686.87</v>
      </c>
      <c r="E35" s="242">
        <v>901.5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15820.52</v>
      </c>
      <c r="E37" s="242">
        <v>5224.6899999999996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1924627.01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-1026828.34</v>
      </c>
      <c r="E40" s="245">
        <v>98984.52</v>
      </c>
    </row>
    <row r="41" spans="2:6" ht="13.5" thickBot="1">
      <c r="B41" s="96" t="s">
        <v>37</v>
      </c>
      <c r="C41" s="97" t="s">
        <v>38</v>
      </c>
      <c r="D41" s="289">
        <v>719841.55999999994</v>
      </c>
      <c r="E41" s="145">
        <f>E26+E27+E40</f>
        <v>634469.08000000007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17901.166561999999</v>
      </c>
      <c r="E47" s="146">
        <v>3343.2631919999999</v>
      </c>
    </row>
    <row r="48" spans="2:6">
      <c r="B48" s="180" t="s">
        <v>6</v>
      </c>
      <c r="C48" s="181" t="s">
        <v>41</v>
      </c>
      <c r="D48" s="299">
        <v>4279.4218819999996</v>
      </c>
      <c r="E48" s="146">
        <v>2834.3492799999999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207.15</v>
      </c>
      <c r="E50" s="146">
        <v>195.56</v>
      </c>
    </row>
    <row r="51" spans="2:5">
      <c r="B51" s="178" t="s">
        <v>6</v>
      </c>
      <c r="C51" s="179" t="s">
        <v>114</v>
      </c>
      <c r="D51" s="299">
        <v>136.03</v>
      </c>
      <c r="E51" s="72">
        <v>193.41</v>
      </c>
    </row>
    <row r="52" spans="2:5">
      <c r="B52" s="178" t="s">
        <v>8</v>
      </c>
      <c r="C52" s="179" t="s">
        <v>115</v>
      </c>
      <c r="D52" s="299">
        <v>208.83</v>
      </c>
      <c r="E52" s="72">
        <v>232.19</v>
      </c>
    </row>
    <row r="53" spans="2:5" ht="12.75" customHeight="1" thickBot="1">
      <c r="B53" s="182" t="s">
        <v>9</v>
      </c>
      <c r="C53" s="183" t="s">
        <v>41</v>
      </c>
      <c r="D53" s="297">
        <v>168.21</v>
      </c>
      <c r="E53" s="246">
        <v>223.85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634469.07999999996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634469.07999999996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634469.07999999996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634469.07999999996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" bottom="0.49" header="0.5" footer="0.5"/>
  <pageSetup paperSize="9" scale="70" orientation="portrait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5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266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162095.23000000001</v>
      </c>
      <c r="E11" s="211">
        <f>SUM(E12:E14)</f>
        <v>194220.74</v>
      </c>
    </row>
    <row r="12" spans="2:5">
      <c r="B12" s="167" t="s">
        <v>4</v>
      </c>
      <c r="C12" s="168" t="s">
        <v>5</v>
      </c>
      <c r="D12" s="271">
        <v>162095.23000000001</v>
      </c>
      <c r="E12" s="216">
        <v>194220.74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162095.23000000001</v>
      </c>
      <c r="E21" s="145">
        <f>E11-E17</f>
        <v>194220.74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246269.2</v>
      </c>
      <c r="E26" s="206">
        <f>D21</f>
        <v>162095.23000000001</v>
      </c>
    </row>
    <row r="27" spans="2:6">
      <c r="B27" s="9" t="s">
        <v>17</v>
      </c>
      <c r="C27" s="10" t="s">
        <v>111</v>
      </c>
      <c r="D27" s="285">
        <v>-2657.9899999999907</v>
      </c>
      <c r="E27" s="240">
        <v>-1438.13</v>
      </c>
      <c r="F27" s="70"/>
    </row>
    <row r="28" spans="2:6">
      <c r="B28" s="9" t="s">
        <v>18</v>
      </c>
      <c r="C28" s="10" t="s">
        <v>19</v>
      </c>
      <c r="D28" s="285">
        <v>100599.71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100599.71</v>
      </c>
      <c r="E31" s="242"/>
      <c r="F31" s="70"/>
    </row>
    <row r="32" spans="2:6">
      <c r="B32" s="89" t="s">
        <v>23</v>
      </c>
      <c r="C32" s="11" t="s">
        <v>24</v>
      </c>
      <c r="D32" s="285">
        <v>103257.7</v>
      </c>
      <c r="E32" s="241">
        <v>1438.13</v>
      </c>
      <c r="F32" s="70"/>
    </row>
    <row r="33" spans="2:6">
      <c r="B33" s="175" t="s">
        <v>4</v>
      </c>
      <c r="C33" s="168" t="s">
        <v>25</v>
      </c>
      <c r="D33" s="286">
        <v>101620.89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68.86</v>
      </c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1567.95</v>
      </c>
      <c r="E37" s="242">
        <v>1438.13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-1593.16</v>
      </c>
      <c r="E40" s="245">
        <v>33563.64</v>
      </c>
    </row>
    <row r="41" spans="2:6" ht="13.5" thickBot="1">
      <c r="B41" s="96" t="s">
        <v>37</v>
      </c>
      <c r="C41" s="97" t="s">
        <v>38</v>
      </c>
      <c r="D41" s="289">
        <v>242018.05000000002</v>
      </c>
      <c r="E41" s="145">
        <f>E26+E27+E40</f>
        <v>194220.74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1782.75083</v>
      </c>
      <c r="E47" s="146">
        <v>1015.44339</v>
      </c>
    </row>
    <row r="48" spans="2:6">
      <c r="B48" s="180" t="s">
        <v>6</v>
      </c>
      <c r="C48" s="181" t="s">
        <v>41</v>
      </c>
      <c r="D48" s="299">
        <v>1900.11814</v>
      </c>
      <c r="E48" s="146">
        <v>1007.369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138.13999999999999</v>
      </c>
      <c r="E50" s="146">
        <v>159.63</v>
      </c>
    </row>
    <row r="51" spans="2:5">
      <c r="B51" s="178" t="s">
        <v>6</v>
      </c>
      <c r="C51" s="179" t="s">
        <v>114</v>
      </c>
      <c r="D51" s="299">
        <v>99.47</v>
      </c>
      <c r="E51" s="72">
        <v>159.63</v>
      </c>
    </row>
    <row r="52" spans="2:5">
      <c r="B52" s="178" t="s">
        <v>8</v>
      </c>
      <c r="C52" s="179" t="s">
        <v>115</v>
      </c>
      <c r="D52" s="299">
        <v>140.97999999999999</v>
      </c>
      <c r="E52" s="72">
        <v>194.07</v>
      </c>
    </row>
    <row r="53" spans="2:5" ht="13.5" customHeight="1" thickBot="1">
      <c r="B53" s="182" t="s">
        <v>9</v>
      </c>
      <c r="C53" s="183" t="s">
        <v>41</v>
      </c>
      <c r="D53" s="297">
        <v>127.37</v>
      </c>
      <c r="E53" s="246">
        <v>192.8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5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194220.74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194220.74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194220.74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194220.74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6"/>
  <dimension ref="A1:F81"/>
  <sheetViews>
    <sheetView topLeftCell="A19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186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3902970.36</v>
      </c>
      <c r="E11" s="211">
        <f>SUM(E12:E14)</f>
        <v>3692011.35</v>
      </c>
    </row>
    <row r="12" spans="2:5">
      <c r="B12" s="167" t="s">
        <v>4</v>
      </c>
      <c r="C12" s="168" t="s">
        <v>5</v>
      </c>
      <c r="D12" s="271">
        <v>3902970.36</v>
      </c>
      <c r="E12" s="216">
        <v>3692011.35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3902970.36</v>
      </c>
      <c r="E21" s="145">
        <f>E11-E17</f>
        <v>3692011.35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1848451.8</v>
      </c>
      <c r="E26" s="206">
        <f>D21</f>
        <v>3902970.36</v>
      </c>
    </row>
    <row r="27" spans="2:6">
      <c r="B27" s="9" t="s">
        <v>17</v>
      </c>
      <c r="C27" s="10" t="s">
        <v>111</v>
      </c>
      <c r="D27" s="285">
        <v>2195195.4699999997</v>
      </c>
      <c r="E27" s="240">
        <v>-30292.33</v>
      </c>
      <c r="F27" s="70"/>
    </row>
    <row r="28" spans="2:6">
      <c r="B28" s="9" t="s">
        <v>18</v>
      </c>
      <c r="C28" s="10" t="s">
        <v>19</v>
      </c>
      <c r="D28" s="285">
        <v>2511610.94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2511610.94</v>
      </c>
      <c r="E31" s="242"/>
      <c r="F31" s="70"/>
    </row>
    <row r="32" spans="2:6">
      <c r="B32" s="89" t="s">
        <v>23</v>
      </c>
      <c r="C32" s="11" t="s">
        <v>24</v>
      </c>
      <c r="D32" s="285">
        <v>316415.46999999997</v>
      </c>
      <c r="E32" s="241">
        <v>30292.33</v>
      </c>
      <c r="F32" s="70"/>
    </row>
    <row r="33" spans="2:6">
      <c r="B33" s="175" t="s">
        <v>4</v>
      </c>
      <c r="C33" s="168" t="s">
        <v>25</v>
      </c>
      <c r="D33" s="286">
        <v>140199.41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904.37</v>
      </c>
      <c r="E35" s="242">
        <v>438.13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27076.58</v>
      </c>
      <c r="E37" s="242">
        <v>29854.2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148235.10999999999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-375676.64</v>
      </c>
      <c r="E40" s="245">
        <v>-180666.68</v>
      </c>
    </row>
    <row r="41" spans="2:6" ht="13.5" thickBot="1">
      <c r="B41" s="96" t="s">
        <v>37</v>
      </c>
      <c r="C41" s="97" t="s">
        <v>38</v>
      </c>
      <c r="D41" s="289">
        <v>3667970.6299999994</v>
      </c>
      <c r="E41" s="145">
        <f>E26+E27+E40</f>
        <v>3692011.3499999996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19721.026320000001</v>
      </c>
      <c r="E47" s="146">
        <v>41980.965429999997</v>
      </c>
    </row>
    <row r="48" spans="2:6">
      <c r="B48" s="180" t="s">
        <v>6</v>
      </c>
      <c r="C48" s="181" t="s">
        <v>41</v>
      </c>
      <c r="D48" s="299">
        <v>42815.111790000003</v>
      </c>
      <c r="E48" s="146">
        <v>41642.356789999998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93.73</v>
      </c>
      <c r="E50" s="146">
        <v>92.97</v>
      </c>
    </row>
    <row r="51" spans="2:5">
      <c r="B51" s="178" t="s">
        <v>6</v>
      </c>
      <c r="C51" s="179" t="s">
        <v>114</v>
      </c>
      <c r="D51" s="299">
        <v>75.56</v>
      </c>
      <c r="E51" s="146">
        <v>85.52</v>
      </c>
    </row>
    <row r="52" spans="2:5">
      <c r="B52" s="178" t="s">
        <v>8</v>
      </c>
      <c r="C52" s="179" t="s">
        <v>115</v>
      </c>
      <c r="D52" s="299">
        <v>93.97</v>
      </c>
      <c r="E52" s="72">
        <v>93.42</v>
      </c>
    </row>
    <row r="53" spans="2:5" ht="12.75" customHeight="1" thickBot="1">
      <c r="B53" s="182" t="s">
        <v>9</v>
      </c>
      <c r="C53" s="183" t="s">
        <v>41</v>
      </c>
      <c r="D53" s="297">
        <v>85.67</v>
      </c>
      <c r="E53" s="246">
        <v>88.66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3692011.35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3692011.35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3692011.35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3692011.35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7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187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156439.49</v>
      </c>
      <c r="E11" s="211">
        <f>SUM(E12:E14)</f>
        <v>158551.32</v>
      </c>
    </row>
    <row r="12" spans="2:5">
      <c r="B12" s="167" t="s">
        <v>4</v>
      </c>
      <c r="C12" s="168" t="s">
        <v>5</v>
      </c>
      <c r="D12" s="271">
        <v>156439.49</v>
      </c>
      <c r="E12" s="216">
        <v>158551.32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156439.49</v>
      </c>
      <c r="E21" s="145">
        <f>E11-E17</f>
        <v>158551.32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614174.27</v>
      </c>
      <c r="E26" s="206">
        <f>D21</f>
        <v>156439.49</v>
      </c>
    </row>
    <row r="27" spans="2:6">
      <c r="B27" s="9" t="s">
        <v>17</v>
      </c>
      <c r="C27" s="10" t="s">
        <v>111</v>
      </c>
      <c r="D27" s="285">
        <v>-244564.59</v>
      </c>
      <c r="E27" s="240">
        <v>-14852.7</v>
      </c>
      <c r="F27" s="70"/>
    </row>
    <row r="28" spans="2:6">
      <c r="B28" s="9" t="s">
        <v>18</v>
      </c>
      <c r="C28" s="10" t="s">
        <v>19</v>
      </c>
      <c r="D28" s="285">
        <v>11403.03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11403.03</v>
      </c>
      <c r="E31" s="242"/>
      <c r="F31" s="70"/>
    </row>
    <row r="32" spans="2:6">
      <c r="B32" s="89" t="s">
        <v>23</v>
      </c>
      <c r="C32" s="11" t="s">
        <v>24</v>
      </c>
      <c r="D32" s="285">
        <v>255967.62</v>
      </c>
      <c r="E32" s="241">
        <v>14852.7</v>
      </c>
      <c r="F32" s="70"/>
    </row>
    <row r="33" spans="2:6">
      <c r="B33" s="175" t="s">
        <v>4</v>
      </c>
      <c r="C33" s="168" t="s">
        <v>25</v>
      </c>
      <c r="D33" s="286"/>
      <c r="E33" s="242">
        <v>13357.31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241.98</v>
      </c>
      <c r="E35" s="242">
        <v>24.49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3754.85</v>
      </c>
      <c r="E37" s="242">
        <v>1470.9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251970.79</v>
      </c>
      <c r="E39" s="243"/>
      <c r="F39" s="70"/>
    </row>
    <row r="40" spans="2:6" ht="13.5" thickBot="1">
      <c r="B40" s="94" t="s">
        <v>35</v>
      </c>
      <c r="C40" s="95" t="s">
        <v>36</v>
      </c>
      <c r="D40" s="288">
        <v>-70404.179999999993</v>
      </c>
      <c r="E40" s="245">
        <v>16964.53</v>
      </c>
    </row>
    <row r="41" spans="2:6" ht="13.5" thickBot="1">
      <c r="B41" s="96" t="s">
        <v>37</v>
      </c>
      <c r="C41" s="97" t="s">
        <v>38</v>
      </c>
      <c r="D41" s="289">
        <v>299205.50000000006</v>
      </c>
      <c r="E41" s="145">
        <f>E26+E27+E40</f>
        <v>158551.31999999998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2707.7606500000002</v>
      </c>
      <c r="E47" s="146">
        <v>698.17238999999995</v>
      </c>
    </row>
    <row r="48" spans="2:6">
      <c r="B48" s="180" t="s">
        <v>6</v>
      </c>
      <c r="C48" s="181" t="s">
        <v>41</v>
      </c>
      <c r="D48" s="299">
        <v>1537.6991700000001</v>
      </c>
      <c r="E48" s="146">
        <v>633.69833000000006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226.82</v>
      </c>
      <c r="E50" s="146">
        <v>224.07</v>
      </c>
    </row>
    <row r="51" spans="2:5">
      <c r="B51" s="178" t="s">
        <v>6</v>
      </c>
      <c r="C51" s="179" t="s">
        <v>114</v>
      </c>
      <c r="D51" s="299">
        <v>151.97</v>
      </c>
      <c r="E51" s="72">
        <v>221.81</v>
      </c>
    </row>
    <row r="52" spans="2:5">
      <c r="B52" s="178" t="s">
        <v>8</v>
      </c>
      <c r="C52" s="179" t="s">
        <v>115</v>
      </c>
      <c r="D52" s="299">
        <v>231.55</v>
      </c>
      <c r="E52" s="72">
        <v>254.54</v>
      </c>
    </row>
    <row r="53" spans="2:5" ht="12.75" customHeight="1" thickBot="1">
      <c r="B53" s="182" t="s">
        <v>9</v>
      </c>
      <c r="C53" s="183" t="s">
        <v>41</v>
      </c>
      <c r="D53" s="297">
        <v>194.58</v>
      </c>
      <c r="E53" s="246">
        <v>250.2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158551.32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158551.32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158551.32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158551.32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H81"/>
  <sheetViews>
    <sheetView topLeftCell="A13" zoomScale="80" zoomScaleNormal="80" workbookViewId="0">
      <selection activeCell="E35" sqref="E35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  <col min="7" max="7" width="12.42578125" customWidth="1"/>
  </cols>
  <sheetData>
    <row r="1" spans="2:7">
      <c r="B1" s="1"/>
      <c r="C1" s="1"/>
      <c r="D1" s="2"/>
      <c r="E1" s="2"/>
    </row>
    <row r="2" spans="2:7" ht="15.75">
      <c r="B2" s="352" t="s">
        <v>0</v>
      </c>
      <c r="C2" s="352"/>
      <c r="D2" s="352"/>
      <c r="E2" s="352"/>
      <c r="G2" s="70"/>
    </row>
    <row r="3" spans="2:7" ht="15.75">
      <c r="B3" s="352" t="s">
        <v>261</v>
      </c>
      <c r="C3" s="352"/>
      <c r="D3" s="352"/>
      <c r="E3" s="352"/>
    </row>
    <row r="4" spans="2:7" ht="15">
      <c r="B4" s="82"/>
      <c r="C4" s="82"/>
      <c r="D4" s="82"/>
      <c r="E4" s="82"/>
    </row>
    <row r="5" spans="2:7" ht="21" customHeight="1">
      <c r="B5" s="353" t="s">
        <v>1</v>
      </c>
      <c r="C5" s="353"/>
      <c r="D5" s="353"/>
      <c r="E5" s="353"/>
    </row>
    <row r="6" spans="2:7" ht="14.25">
      <c r="B6" s="354" t="s">
        <v>91</v>
      </c>
      <c r="C6" s="354"/>
      <c r="D6" s="354"/>
      <c r="E6" s="354"/>
    </row>
    <row r="7" spans="2:7" ht="14.25">
      <c r="B7" s="86"/>
      <c r="C7" s="86"/>
      <c r="D7" s="86"/>
      <c r="E7" s="86"/>
    </row>
    <row r="8" spans="2:7" ht="13.5">
      <c r="B8" s="356" t="s">
        <v>18</v>
      </c>
      <c r="C8" s="358"/>
      <c r="D8" s="358"/>
      <c r="E8" s="358"/>
    </row>
    <row r="9" spans="2:7" ht="16.5" thickBot="1">
      <c r="B9" s="355" t="s">
        <v>103</v>
      </c>
      <c r="C9" s="355"/>
      <c r="D9" s="355"/>
      <c r="E9" s="355"/>
    </row>
    <row r="10" spans="2:7" ht="13.5" thickBot="1">
      <c r="B10" s="83"/>
      <c r="C10" s="73" t="s">
        <v>2</v>
      </c>
      <c r="D10" s="256" t="s">
        <v>255</v>
      </c>
      <c r="E10" s="223" t="s">
        <v>260</v>
      </c>
    </row>
    <row r="11" spans="2:7">
      <c r="B11" s="87" t="s">
        <v>3</v>
      </c>
      <c r="C11" s="187" t="s">
        <v>109</v>
      </c>
      <c r="D11" s="270">
        <f>SUM(D12:D14)</f>
        <v>85196263.070000008</v>
      </c>
      <c r="E11" s="211">
        <f>SUM(E12:E14)</f>
        <v>86735436.319999993</v>
      </c>
    </row>
    <row r="12" spans="2:7">
      <c r="B12" s="103" t="s">
        <v>4</v>
      </c>
      <c r="C12" s="188" t="s">
        <v>5</v>
      </c>
      <c r="D12" s="271">
        <f>84824449.73+351096.55-615049.97</f>
        <v>84560496.310000002</v>
      </c>
      <c r="E12" s="216">
        <f>86064724.25+1007173.13-557966.64</f>
        <v>86513930.739999995</v>
      </c>
    </row>
    <row r="13" spans="2:7">
      <c r="B13" s="103" t="s">
        <v>6</v>
      </c>
      <c r="C13" s="188" t="s">
        <v>7</v>
      </c>
      <c r="D13" s="272"/>
      <c r="E13" s="217"/>
    </row>
    <row r="14" spans="2:7">
      <c r="B14" s="103" t="s">
        <v>8</v>
      </c>
      <c r="C14" s="188" t="s">
        <v>10</v>
      </c>
      <c r="D14" s="272">
        <f>D15</f>
        <v>635766.76</v>
      </c>
      <c r="E14" s="217">
        <f>E15</f>
        <v>221505.58</v>
      </c>
    </row>
    <row r="15" spans="2:7">
      <c r="B15" s="103" t="s">
        <v>106</v>
      </c>
      <c r="C15" s="188" t="s">
        <v>11</v>
      </c>
      <c r="D15" s="272">
        <v>635766.76</v>
      </c>
      <c r="E15" s="217">
        <v>221505.58</v>
      </c>
    </row>
    <row r="16" spans="2:7">
      <c r="B16" s="104" t="s">
        <v>107</v>
      </c>
      <c r="C16" s="189" t="s">
        <v>12</v>
      </c>
      <c r="D16" s="273"/>
      <c r="E16" s="218"/>
    </row>
    <row r="17" spans="2:8">
      <c r="B17" s="9" t="s">
        <v>13</v>
      </c>
      <c r="C17" s="190" t="s">
        <v>65</v>
      </c>
      <c r="D17" s="274">
        <f>D18</f>
        <v>108280.82</v>
      </c>
      <c r="E17" s="219">
        <f>E18</f>
        <v>166128.74</v>
      </c>
    </row>
    <row r="18" spans="2:8">
      <c r="B18" s="103" t="s">
        <v>4</v>
      </c>
      <c r="C18" s="188" t="s">
        <v>11</v>
      </c>
      <c r="D18" s="273">
        <v>108280.82</v>
      </c>
      <c r="E18" s="218">
        <v>166128.74</v>
      </c>
      <c r="H18" s="66"/>
    </row>
    <row r="19" spans="2:8" ht="15" customHeight="1">
      <c r="B19" s="103" t="s">
        <v>6</v>
      </c>
      <c r="C19" s="188" t="s">
        <v>108</v>
      </c>
      <c r="D19" s="272"/>
      <c r="E19" s="217"/>
    </row>
    <row r="20" spans="2:8" ht="13.5" thickBot="1">
      <c r="B20" s="105" t="s">
        <v>8</v>
      </c>
      <c r="C20" s="68" t="s">
        <v>14</v>
      </c>
      <c r="D20" s="275"/>
      <c r="E20" s="212"/>
    </row>
    <row r="21" spans="2:8" ht="13.5" thickBot="1">
      <c r="B21" s="362" t="s">
        <v>110</v>
      </c>
      <c r="C21" s="363"/>
      <c r="D21" s="276">
        <f>D11-D17</f>
        <v>85087982.250000015</v>
      </c>
      <c r="E21" s="145">
        <f>E11-E17</f>
        <v>86569307.579999998</v>
      </c>
      <c r="F21" s="74"/>
    </row>
    <row r="22" spans="2:8">
      <c r="B22" s="3"/>
      <c r="C22" s="7"/>
      <c r="D22" s="8"/>
      <c r="E22" s="8"/>
    </row>
    <row r="23" spans="2:8" ht="13.5">
      <c r="B23" s="356" t="s">
        <v>104</v>
      </c>
      <c r="C23" s="368"/>
      <c r="D23" s="368"/>
      <c r="E23" s="368"/>
    </row>
    <row r="24" spans="2:8" ht="15.75" customHeight="1" thickBot="1">
      <c r="B24" s="355" t="s">
        <v>105</v>
      </c>
      <c r="C24" s="369"/>
      <c r="D24" s="369"/>
      <c r="E24" s="369"/>
    </row>
    <row r="25" spans="2:8" ht="13.5" thickBot="1">
      <c r="B25" s="83"/>
      <c r="C25" s="5" t="s">
        <v>2</v>
      </c>
      <c r="D25" s="256" t="s">
        <v>262</v>
      </c>
      <c r="E25" s="223" t="s">
        <v>260</v>
      </c>
    </row>
    <row r="26" spans="2:8">
      <c r="B26" s="92" t="s">
        <v>15</v>
      </c>
      <c r="C26" s="93" t="s">
        <v>16</v>
      </c>
      <c r="D26" s="284">
        <v>68289446.690000013</v>
      </c>
      <c r="E26" s="206">
        <f>D21</f>
        <v>85087982.250000015</v>
      </c>
    </row>
    <row r="27" spans="2:8">
      <c r="B27" s="9" t="s">
        <v>17</v>
      </c>
      <c r="C27" s="10" t="s">
        <v>111</v>
      </c>
      <c r="D27" s="285">
        <v>3153313.5699999994</v>
      </c>
      <c r="E27" s="240">
        <v>2983247.0800000019</v>
      </c>
      <c r="F27" s="70"/>
    </row>
    <row r="28" spans="2:8">
      <c r="B28" s="9" t="s">
        <v>18</v>
      </c>
      <c r="C28" s="10" t="s">
        <v>19</v>
      </c>
      <c r="D28" s="285">
        <v>11514270.629999999</v>
      </c>
      <c r="E28" s="241">
        <v>14383737.120000001</v>
      </c>
      <c r="F28" s="70"/>
    </row>
    <row r="29" spans="2:8">
      <c r="B29" s="101" t="s">
        <v>4</v>
      </c>
      <c r="C29" s="6" t="s">
        <v>20</v>
      </c>
      <c r="D29" s="286">
        <v>8350812.3499999996</v>
      </c>
      <c r="E29" s="242">
        <v>9776863.9299999997</v>
      </c>
      <c r="F29" s="70"/>
    </row>
    <row r="30" spans="2:8">
      <c r="B30" s="101" t="s">
        <v>6</v>
      </c>
      <c r="C30" s="6" t="s">
        <v>21</v>
      </c>
      <c r="D30" s="286"/>
      <c r="E30" s="242"/>
      <c r="F30" s="70"/>
    </row>
    <row r="31" spans="2:8">
      <c r="B31" s="101" t="s">
        <v>8</v>
      </c>
      <c r="C31" s="6" t="s">
        <v>22</v>
      </c>
      <c r="D31" s="286">
        <v>3163458.2800000003</v>
      </c>
      <c r="E31" s="242">
        <v>4606873.1900000004</v>
      </c>
      <c r="F31" s="70"/>
    </row>
    <row r="32" spans="2:8">
      <c r="B32" s="89" t="s">
        <v>23</v>
      </c>
      <c r="C32" s="11" t="s">
        <v>24</v>
      </c>
      <c r="D32" s="285">
        <v>8360957.0599999996</v>
      </c>
      <c r="E32" s="241">
        <v>11400490.039999999</v>
      </c>
      <c r="F32" s="70"/>
    </row>
    <row r="33" spans="2:6">
      <c r="B33" s="101" t="s">
        <v>4</v>
      </c>
      <c r="C33" s="6" t="s">
        <v>25</v>
      </c>
      <c r="D33" s="286">
        <v>5735709.3099999996</v>
      </c>
      <c r="E33" s="242">
        <v>4594895.09</v>
      </c>
      <c r="F33" s="70"/>
    </row>
    <row r="34" spans="2:6">
      <c r="B34" s="101" t="s">
        <v>6</v>
      </c>
      <c r="C34" s="6" t="s">
        <v>26</v>
      </c>
      <c r="D34" s="286"/>
      <c r="E34" s="242"/>
      <c r="F34" s="70"/>
    </row>
    <row r="35" spans="2:6">
      <c r="B35" s="101" t="s">
        <v>8</v>
      </c>
      <c r="C35" s="6" t="s">
        <v>27</v>
      </c>
      <c r="D35" s="286">
        <v>814009.49</v>
      </c>
      <c r="E35" s="242">
        <v>804137.77</v>
      </c>
      <c r="F35" s="70"/>
    </row>
    <row r="36" spans="2:6">
      <c r="B36" s="101" t="s">
        <v>9</v>
      </c>
      <c r="C36" s="6" t="s">
        <v>28</v>
      </c>
      <c r="D36" s="286"/>
      <c r="E36" s="242"/>
      <c r="F36" s="70"/>
    </row>
    <row r="37" spans="2:6" ht="25.5">
      <c r="B37" s="101" t="s">
        <v>29</v>
      </c>
      <c r="C37" s="6" t="s">
        <v>30</v>
      </c>
      <c r="D37" s="286"/>
      <c r="E37" s="242"/>
      <c r="F37" s="70"/>
    </row>
    <row r="38" spans="2:6">
      <c r="B38" s="101" t="s">
        <v>31</v>
      </c>
      <c r="C38" s="6" t="s">
        <v>32</v>
      </c>
      <c r="D38" s="286"/>
      <c r="E38" s="242"/>
      <c r="F38" s="70"/>
    </row>
    <row r="39" spans="2:6">
      <c r="B39" s="102" t="s">
        <v>33</v>
      </c>
      <c r="C39" s="12" t="s">
        <v>34</v>
      </c>
      <c r="D39" s="287">
        <v>1811238.26</v>
      </c>
      <c r="E39" s="243">
        <v>6001457.1800000006</v>
      </c>
      <c r="F39" s="70"/>
    </row>
    <row r="40" spans="2:6" ht="13.5" thickBot="1">
      <c r="B40" s="94" t="s">
        <v>35</v>
      </c>
      <c r="C40" s="95" t="s">
        <v>36</v>
      </c>
      <c r="D40" s="288">
        <v>2886064.22</v>
      </c>
      <c r="E40" s="245">
        <v>-1501921.75</v>
      </c>
    </row>
    <row r="41" spans="2:6" ht="13.5" thickBot="1">
      <c r="B41" s="96" t="s">
        <v>37</v>
      </c>
      <c r="C41" s="97" t="s">
        <v>38</v>
      </c>
      <c r="D41" s="289">
        <v>74328824.480000004</v>
      </c>
      <c r="E41" s="145">
        <f>E26+E27+E40</f>
        <v>86569307.580000013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58"/>
      <c r="D43" s="358"/>
      <c r="E43" s="358"/>
    </row>
    <row r="44" spans="2:6" ht="17.25" customHeight="1" thickBot="1">
      <c r="B44" s="355" t="s">
        <v>121</v>
      </c>
      <c r="C44" s="359"/>
      <c r="D44" s="359"/>
      <c r="E44" s="359"/>
    </row>
    <row r="45" spans="2:6" ht="13.5" thickBot="1">
      <c r="B45" s="83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200"/>
      <c r="E46" s="28"/>
    </row>
    <row r="47" spans="2:6">
      <c r="B47" s="178" t="s">
        <v>4</v>
      </c>
      <c r="C47" s="179" t="s">
        <v>40</v>
      </c>
      <c r="D47" s="299">
        <v>5494161.6903999997</v>
      </c>
      <c r="E47" s="300">
        <v>6483694.3091000002</v>
      </c>
    </row>
    <row r="48" spans="2:6">
      <c r="B48" s="180" t="s">
        <v>6</v>
      </c>
      <c r="C48" s="181" t="s">
        <v>41</v>
      </c>
      <c r="D48" s="299">
        <v>5744795.7511</v>
      </c>
      <c r="E48" s="310">
        <v>6712711.5472999997</v>
      </c>
    </row>
    <row r="49" spans="2:5">
      <c r="B49" s="117" t="s">
        <v>23</v>
      </c>
      <c r="C49" s="121" t="s">
        <v>113</v>
      </c>
      <c r="D49" s="302"/>
      <c r="E49" s="122"/>
    </row>
    <row r="50" spans="2:5">
      <c r="B50" s="178" t="s">
        <v>4</v>
      </c>
      <c r="C50" s="179" t="s">
        <v>40</v>
      </c>
      <c r="D50" s="299">
        <v>12.429500000000001</v>
      </c>
      <c r="E50" s="303">
        <v>13.1234</v>
      </c>
    </row>
    <row r="51" spans="2:5">
      <c r="B51" s="178" t="s">
        <v>6</v>
      </c>
      <c r="C51" s="179" t="s">
        <v>114</v>
      </c>
      <c r="D51" s="299">
        <v>12.3536</v>
      </c>
      <c r="E51" s="304">
        <v>12.8498</v>
      </c>
    </row>
    <row r="52" spans="2:5" ht="12" customHeight="1">
      <c r="B52" s="178" t="s">
        <v>8</v>
      </c>
      <c r="C52" s="179" t="s">
        <v>115</v>
      </c>
      <c r="D52" s="299">
        <v>12.938499999999999</v>
      </c>
      <c r="E52" s="72">
        <v>13.194800000000001</v>
      </c>
    </row>
    <row r="53" spans="2:5" ht="13.5" thickBot="1">
      <c r="B53" s="182" t="s">
        <v>9</v>
      </c>
      <c r="C53" s="183" t="s">
        <v>41</v>
      </c>
      <c r="D53" s="297">
        <v>12.938499999999999</v>
      </c>
      <c r="E53" s="246">
        <v>12.8963</v>
      </c>
    </row>
    <row r="54" spans="2:5">
      <c r="B54" s="184"/>
      <c r="C54" s="185"/>
      <c r="D54" s="108"/>
      <c r="E54" s="108"/>
    </row>
    <row r="55" spans="2:5" ht="13.5">
      <c r="B55" s="357" t="s">
        <v>62</v>
      </c>
      <c r="C55" s="366"/>
      <c r="D55" s="366"/>
      <c r="E55" s="366"/>
    </row>
    <row r="56" spans="2:5" ht="16.5" customHeight="1" thickBot="1">
      <c r="B56" s="355" t="s">
        <v>116</v>
      </c>
      <c r="C56" s="367"/>
      <c r="D56" s="367"/>
      <c r="E56" s="367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SUM(D59:D70)</f>
        <v>86513930.739999995</v>
      </c>
      <c r="E58" s="31">
        <f>D58/E21</f>
        <v>0.99936031785920398</v>
      </c>
    </row>
    <row r="59" spans="2:5" ht="25.5">
      <c r="B59" s="311" t="s">
        <v>4</v>
      </c>
      <c r="C59" s="181" t="s">
        <v>44</v>
      </c>
      <c r="D59" s="77">
        <v>0</v>
      </c>
      <c r="E59" s="78">
        <v>0</v>
      </c>
    </row>
    <row r="60" spans="2:5" ht="24" customHeight="1">
      <c r="B60" s="312" t="s">
        <v>6</v>
      </c>
      <c r="C60" s="179" t="s">
        <v>45</v>
      </c>
      <c r="D60" s="75">
        <v>0</v>
      </c>
      <c r="E60" s="76">
        <v>0</v>
      </c>
    </row>
    <row r="61" spans="2:5">
      <c r="B61" s="312" t="s">
        <v>8</v>
      </c>
      <c r="C61" s="179" t="s">
        <v>46</v>
      </c>
      <c r="D61" s="75">
        <v>0</v>
      </c>
      <c r="E61" s="76">
        <v>0</v>
      </c>
    </row>
    <row r="62" spans="2:5">
      <c r="B62" s="312" t="s">
        <v>9</v>
      </c>
      <c r="C62" s="179" t="s">
        <v>47</v>
      </c>
      <c r="D62" s="75">
        <v>0</v>
      </c>
      <c r="E62" s="76">
        <v>0</v>
      </c>
    </row>
    <row r="63" spans="2:5">
      <c r="B63" s="312" t="s">
        <v>29</v>
      </c>
      <c r="C63" s="179" t="s">
        <v>48</v>
      </c>
      <c r="D63" s="75">
        <v>0</v>
      </c>
      <c r="E63" s="76">
        <v>0</v>
      </c>
    </row>
    <row r="64" spans="2:5">
      <c r="B64" s="311" t="s">
        <v>31</v>
      </c>
      <c r="C64" s="181" t="s">
        <v>49</v>
      </c>
      <c r="D64" s="306">
        <f>86064724.25-557966.64</f>
        <v>85506757.609999999</v>
      </c>
      <c r="E64" s="78">
        <f>D64/E21</f>
        <v>0.98772601976724739</v>
      </c>
    </row>
    <row r="65" spans="2:5">
      <c r="B65" s="311" t="s">
        <v>33</v>
      </c>
      <c r="C65" s="181" t="s">
        <v>118</v>
      </c>
      <c r="D65" s="77">
        <v>0</v>
      </c>
      <c r="E65" s="78">
        <v>0</v>
      </c>
    </row>
    <row r="66" spans="2:5">
      <c r="B66" s="311" t="s">
        <v>50</v>
      </c>
      <c r="C66" s="181" t="s">
        <v>51</v>
      </c>
      <c r="D66" s="77">
        <v>0</v>
      </c>
      <c r="E66" s="78">
        <v>0</v>
      </c>
    </row>
    <row r="67" spans="2:5">
      <c r="B67" s="312" t="s">
        <v>52</v>
      </c>
      <c r="C67" s="179" t="s">
        <v>53</v>
      </c>
      <c r="D67" s="75">
        <v>0</v>
      </c>
      <c r="E67" s="76">
        <v>0</v>
      </c>
    </row>
    <row r="68" spans="2:5">
      <c r="B68" s="312" t="s">
        <v>54</v>
      </c>
      <c r="C68" s="179" t="s">
        <v>55</v>
      </c>
      <c r="D68" s="75">
        <v>0</v>
      </c>
      <c r="E68" s="76">
        <v>0</v>
      </c>
    </row>
    <row r="69" spans="2:5">
      <c r="B69" s="312" t="s">
        <v>56</v>
      </c>
      <c r="C69" s="179" t="s">
        <v>57</v>
      </c>
      <c r="D69" s="298">
        <v>1007173.13</v>
      </c>
      <c r="E69" s="76">
        <f>D69/E21</f>
        <v>1.1634298091956622E-2</v>
      </c>
    </row>
    <row r="70" spans="2:5">
      <c r="B70" s="313" t="s">
        <v>58</v>
      </c>
      <c r="C70" s="207" t="s">
        <v>59</v>
      </c>
      <c r="D70" s="111">
        <v>0</v>
      </c>
      <c r="E70" s="112">
        <v>0</v>
      </c>
    </row>
    <row r="71" spans="2:5">
      <c r="B71" s="117" t="s">
        <v>23</v>
      </c>
      <c r="C71" s="118" t="s">
        <v>61</v>
      </c>
      <c r="D71" s="119">
        <f>E13</f>
        <v>0</v>
      </c>
      <c r="E71" s="65">
        <v>0</v>
      </c>
    </row>
    <row r="72" spans="2:5">
      <c r="B72" s="113" t="s">
        <v>60</v>
      </c>
      <c r="C72" s="114" t="s">
        <v>63</v>
      </c>
      <c r="D72" s="115">
        <f>E14</f>
        <v>221505.58</v>
      </c>
      <c r="E72" s="116">
        <f>D72/E21</f>
        <v>2.5587080016240553E-3</v>
      </c>
    </row>
    <row r="73" spans="2:5">
      <c r="B73" s="23" t="s">
        <v>62</v>
      </c>
      <c r="C73" s="24" t="s">
        <v>65</v>
      </c>
      <c r="D73" s="25">
        <f>E17</f>
        <v>166128.74</v>
      </c>
      <c r="E73" s="26">
        <f>D73/E21</f>
        <v>1.9190258608280761E-3</v>
      </c>
    </row>
    <row r="74" spans="2:5">
      <c r="B74" s="117" t="s">
        <v>64</v>
      </c>
      <c r="C74" s="118" t="s">
        <v>66</v>
      </c>
      <c r="D74" s="119">
        <f>D58+D71+D72-D73</f>
        <v>86569307.579999998</v>
      </c>
      <c r="E74" s="65">
        <f>E58+E72-E73</f>
        <v>1</v>
      </c>
    </row>
    <row r="75" spans="2:5">
      <c r="B75" s="312" t="s">
        <v>4</v>
      </c>
      <c r="C75" s="179" t="s">
        <v>67</v>
      </c>
      <c r="D75" s="75">
        <f>D74</f>
        <v>86569307.579999998</v>
      </c>
      <c r="E75" s="76">
        <f>E74</f>
        <v>1</v>
      </c>
    </row>
    <row r="76" spans="2:5">
      <c r="B76" s="312" t="s">
        <v>6</v>
      </c>
      <c r="C76" s="179" t="s">
        <v>119</v>
      </c>
      <c r="D76" s="75">
        <v>0</v>
      </c>
      <c r="E76" s="76">
        <v>0</v>
      </c>
    </row>
    <row r="77" spans="2:5" ht="13.5" thickBot="1">
      <c r="B77" s="16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8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5"/>
      <c r="C4" s="135"/>
      <c r="D4" s="135"/>
      <c r="E4" s="135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188</v>
      </c>
      <c r="C6" s="354"/>
      <c r="D6" s="354"/>
      <c r="E6" s="354"/>
    </row>
    <row r="7" spans="2:5" ht="14.25">
      <c r="B7" s="133"/>
      <c r="C7" s="133"/>
      <c r="D7" s="133"/>
      <c r="E7" s="133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4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50262.98</v>
      </c>
      <c r="E11" s="211">
        <f>SUM(E12:E14)</f>
        <v>51195.5</v>
      </c>
    </row>
    <row r="12" spans="2:5">
      <c r="B12" s="167" t="s">
        <v>4</v>
      </c>
      <c r="C12" s="168" t="s">
        <v>5</v>
      </c>
      <c r="D12" s="271">
        <v>50262.98</v>
      </c>
      <c r="E12" s="216">
        <v>51195.5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50262.98</v>
      </c>
      <c r="E21" s="145">
        <f>E11-E17</f>
        <v>51195.5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53043.67</v>
      </c>
      <c r="E26" s="206">
        <f>D21</f>
        <v>50262.98</v>
      </c>
    </row>
    <row r="27" spans="2:6">
      <c r="B27" s="9" t="s">
        <v>17</v>
      </c>
      <c r="C27" s="10" t="s">
        <v>111</v>
      </c>
      <c r="D27" s="285">
        <v>-558.85</v>
      </c>
      <c r="E27" s="240">
        <v>-438.1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558.85</v>
      </c>
      <c r="E32" s="241">
        <v>438.1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191.84</v>
      </c>
      <c r="E35" s="242">
        <v>144.69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367.01</v>
      </c>
      <c r="E37" s="242">
        <v>293.41000000000003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-1542.85</v>
      </c>
      <c r="E40" s="245">
        <v>1370.62</v>
      </c>
    </row>
    <row r="41" spans="2:6" ht="13.5" thickBot="1">
      <c r="B41" s="96" t="s">
        <v>37</v>
      </c>
      <c r="C41" s="97" t="s">
        <v>38</v>
      </c>
      <c r="D41" s="289">
        <v>50941.97</v>
      </c>
      <c r="E41" s="145">
        <f>E26+E27+E40</f>
        <v>51195.500000000007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429.39909999999998</v>
      </c>
      <c r="E47" s="146">
        <v>403.97832</v>
      </c>
    </row>
    <row r="48" spans="2:6">
      <c r="B48" s="180" t="s">
        <v>6</v>
      </c>
      <c r="C48" s="181" t="s">
        <v>41</v>
      </c>
      <c r="D48" s="299">
        <v>424.76418999999999</v>
      </c>
      <c r="E48" s="146">
        <v>400.49673000000001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123.53</v>
      </c>
      <c r="E50" s="146">
        <v>124.42</v>
      </c>
    </row>
    <row r="51" spans="2:5">
      <c r="B51" s="178" t="s">
        <v>6</v>
      </c>
      <c r="C51" s="179" t="s">
        <v>114</v>
      </c>
      <c r="D51" s="299">
        <v>112.78</v>
      </c>
      <c r="E51" s="146">
        <v>123.74</v>
      </c>
    </row>
    <row r="52" spans="2:5">
      <c r="B52" s="178" t="s">
        <v>8</v>
      </c>
      <c r="C52" s="179" t="s">
        <v>115</v>
      </c>
      <c r="D52" s="299">
        <v>126.54</v>
      </c>
      <c r="E52" s="72">
        <v>128.09</v>
      </c>
    </row>
    <row r="53" spans="2:5" ht="13.5" customHeight="1" thickBot="1">
      <c r="B53" s="182" t="s">
        <v>9</v>
      </c>
      <c r="C53" s="183" t="s">
        <v>41</v>
      </c>
      <c r="D53" s="297">
        <v>119.93</v>
      </c>
      <c r="E53" s="246">
        <v>127.83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.7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51195.5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51195.5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51195.5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51195.5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9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44"/>
      <c r="C4" s="144"/>
      <c r="D4" s="144"/>
      <c r="E4" s="144"/>
    </row>
    <row r="5" spans="2:5" ht="14.25">
      <c r="B5" s="353" t="s">
        <v>1</v>
      </c>
      <c r="C5" s="353"/>
      <c r="D5" s="353"/>
      <c r="E5" s="353"/>
    </row>
    <row r="6" spans="2:5" ht="14.25">
      <c r="B6" s="354" t="s">
        <v>189</v>
      </c>
      <c r="C6" s="354"/>
      <c r="D6" s="354"/>
      <c r="E6" s="354"/>
    </row>
    <row r="7" spans="2:5" ht="14.25">
      <c r="B7" s="158"/>
      <c r="C7" s="158"/>
      <c r="D7" s="158"/>
      <c r="E7" s="158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59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/>
      <c r="E11" s="211"/>
    </row>
    <row r="12" spans="2:5">
      <c r="B12" s="167" t="s">
        <v>4</v>
      </c>
      <c r="C12" s="168" t="s">
        <v>5</v>
      </c>
      <c r="D12" s="271"/>
      <c r="E12" s="216"/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/>
      <c r="E21" s="145"/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0</v>
      </c>
      <c r="E26" s="206">
        <f>D21</f>
        <v>0</v>
      </c>
    </row>
    <row r="27" spans="2:6">
      <c r="B27" s="9" t="s">
        <v>17</v>
      </c>
      <c r="C27" s="10" t="s">
        <v>111</v>
      </c>
      <c r="D27" s="285">
        <v>20075.310000000001</v>
      </c>
      <c r="E27" s="240">
        <v>-2.2599999999999998</v>
      </c>
      <c r="F27" s="70"/>
    </row>
    <row r="28" spans="2:6">
      <c r="B28" s="9" t="s">
        <v>18</v>
      </c>
      <c r="C28" s="10" t="s">
        <v>19</v>
      </c>
      <c r="D28" s="285">
        <v>20075.310000000001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20075.310000000001</v>
      </c>
      <c r="E31" s="242"/>
      <c r="F31" s="70"/>
    </row>
    <row r="32" spans="2:6">
      <c r="B32" s="89" t="s">
        <v>23</v>
      </c>
      <c r="C32" s="11" t="s">
        <v>24</v>
      </c>
      <c r="D32" s="285">
        <v>0</v>
      </c>
      <c r="E32" s="241">
        <v>2.2599999999999998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/>
      <c r="E35" s="242"/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/>
      <c r="E37" s="242"/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>
        <v>2.2599999999999998</v>
      </c>
      <c r="F39" s="70"/>
    </row>
    <row r="40" spans="2:6" ht="13.5" thickBot="1">
      <c r="B40" s="94" t="s">
        <v>35</v>
      </c>
      <c r="C40" s="95" t="s">
        <v>36</v>
      </c>
      <c r="D40" s="288">
        <v>12.3</v>
      </c>
      <c r="E40" s="245">
        <v>2.2599999999999998</v>
      </c>
    </row>
    <row r="41" spans="2:6" ht="13.5" thickBot="1">
      <c r="B41" s="96" t="s">
        <v>37</v>
      </c>
      <c r="C41" s="97" t="s">
        <v>38</v>
      </c>
      <c r="D41" s="289">
        <v>20087.61</v>
      </c>
      <c r="E41" s="145">
        <f>E26+E27+E40</f>
        <v>0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/>
      <c r="E47" s="146"/>
    </row>
    <row r="48" spans="2:6">
      <c r="B48" s="180" t="s">
        <v>6</v>
      </c>
      <c r="C48" s="181" t="s">
        <v>41</v>
      </c>
      <c r="D48" s="299">
        <v>178.144834</v>
      </c>
      <c r="E48" s="146"/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/>
      <c r="E50" s="146"/>
    </row>
    <row r="51" spans="2:5">
      <c r="B51" s="178" t="s">
        <v>6</v>
      </c>
      <c r="C51" s="179" t="s">
        <v>114</v>
      </c>
      <c r="D51" s="299">
        <v>90.67</v>
      </c>
      <c r="E51" s="146"/>
    </row>
    <row r="52" spans="2:5">
      <c r="B52" s="178" t="s">
        <v>8</v>
      </c>
      <c r="C52" s="179" t="s">
        <v>115</v>
      </c>
      <c r="D52" s="299">
        <v>127.81</v>
      </c>
      <c r="E52" s="72"/>
    </row>
    <row r="53" spans="2:5" ht="13.5" thickBot="1">
      <c r="B53" s="182" t="s">
        <v>9</v>
      </c>
      <c r="C53" s="183" t="s">
        <v>41</v>
      </c>
      <c r="D53" s="297">
        <v>112.76</v>
      </c>
      <c r="E53" s="246"/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0</v>
      </c>
      <c r="E58" s="31">
        <v>0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0</v>
      </c>
      <c r="E64" s="78">
        <f>E58</f>
        <v>0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0</v>
      </c>
      <c r="E74" s="65">
        <f>E58+E72-E73</f>
        <v>0</v>
      </c>
    </row>
    <row r="75" spans="2:5">
      <c r="B75" s="99" t="s">
        <v>4</v>
      </c>
      <c r="C75" s="15" t="s">
        <v>67</v>
      </c>
      <c r="D75" s="75">
        <f>D74</f>
        <v>0</v>
      </c>
      <c r="E75" s="76">
        <f>E74</f>
        <v>0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1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190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21825.79</v>
      </c>
      <c r="E11" s="211">
        <f>SUM(E12:E14)</f>
        <v>23518.21</v>
      </c>
    </row>
    <row r="12" spans="2:5">
      <c r="B12" s="167" t="s">
        <v>4</v>
      </c>
      <c r="C12" s="168" t="s">
        <v>5</v>
      </c>
      <c r="D12" s="271">
        <v>21825.79</v>
      </c>
      <c r="E12" s="216">
        <v>23518.21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21825.79</v>
      </c>
      <c r="E21" s="145">
        <f>E11-E17</f>
        <v>23518.21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33933.9</v>
      </c>
      <c r="E26" s="206">
        <f>D21</f>
        <v>21825.79</v>
      </c>
    </row>
    <row r="27" spans="2:6">
      <c r="B27" s="9" t="s">
        <v>17</v>
      </c>
      <c r="C27" s="10" t="s">
        <v>111</v>
      </c>
      <c r="D27" s="285">
        <v>-1520.0700000000002</v>
      </c>
      <c r="E27" s="240">
        <v>-656.78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1520.0700000000002</v>
      </c>
      <c r="E32" s="241">
        <v>656.78</v>
      </c>
      <c r="F32" s="70"/>
    </row>
    <row r="33" spans="2:6">
      <c r="B33" s="175" t="s">
        <v>4</v>
      </c>
      <c r="C33" s="168" t="s">
        <v>25</v>
      </c>
      <c r="D33" s="286">
        <v>891.6</v>
      </c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371.26</v>
      </c>
      <c r="E35" s="242">
        <v>434.96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257.20999999999998</v>
      </c>
      <c r="E37" s="242">
        <v>221.82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-4146.62</v>
      </c>
      <c r="E40" s="245">
        <v>2349.1999999999998</v>
      </c>
    </row>
    <row r="41" spans="2:6" ht="13.5" thickBot="1">
      <c r="B41" s="96" t="s">
        <v>37</v>
      </c>
      <c r="C41" s="97" t="s">
        <v>38</v>
      </c>
      <c r="D41" s="289">
        <v>28267.210000000003</v>
      </c>
      <c r="E41" s="145">
        <f>E26+E27+E40</f>
        <v>23518.210000000003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256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362.69670000000002</v>
      </c>
      <c r="E47" s="146">
        <v>198.77770000000001</v>
      </c>
    </row>
    <row r="48" spans="2:6">
      <c r="B48" s="180" t="s">
        <v>6</v>
      </c>
      <c r="C48" s="181" t="s">
        <v>41</v>
      </c>
      <c r="D48" s="299">
        <v>345.56490000000002</v>
      </c>
      <c r="E48" s="146">
        <v>193.26329999999999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93.56</v>
      </c>
      <c r="E50" s="146">
        <v>109.8</v>
      </c>
    </row>
    <row r="51" spans="2:5">
      <c r="B51" s="178" t="s">
        <v>6</v>
      </c>
      <c r="C51" s="179" t="s">
        <v>114</v>
      </c>
      <c r="D51" s="299">
        <v>60.44</v>
      </c>
      <c r="E51" s="72">
        <v>109.8</v>
      </c>
    </row>
    <row r="52" spans="2:5">
      <c r="B52" s="178" t="s">
        <v>8</v>
      </c>
      <c r="C52" s="179" t="s">
        <v>115</v>
      </c>
      <c r="D52" s="299">
        <v>97.57</v>
      </c>
      <c r="E52" s="72">
        <v>123.52</v>
      </c>
    </row>
    <row r="53" spans="2:5" ht="12.75" customHeight="1" thickBot="1">
      <c r="B53" s="182" t="s">
        <v>9</v>
      </c>
      <c r="C53" s="183" t="s">
        <v>41</v>
      </c>
      <c r="D53" s="297">
        <v>81.8</v>
      </c>
      <c r="E53" s="246">
        <v>121.69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23518.21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23518.21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23518.21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23518.21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2">
    <pageSetUpPr fitToPage="1"/>
  </sheetPr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 customFormat="1">
      <c r="B1" s="1"/>
      <c r="C1" s="1"/>
      <c r="D1" s="2"/>
      <c r="E1" s="2"/>
    </row>
    <row r="2" spans="2:5" customFormat="1" ht="15.75">
      <c r="B2" s="352" t="s">
        <v>0</v>
      </c>
      <c r="C2" s="352"/>
      <c r="D2" s="352"/>
      <c r="E2" s="352"/>
    </row>
    <row r="3" spans="2:5" customFormat="1" ht="15.75">
      <c r="B3" s="352" t="s">
        <v>261</v>
      </c>
      <c r="C3" s="352"/>
      <c r="D3" s="352"/>
      <c r="E3" s="352"/>
    </row>
    <row r="4" spans="2:5" customFormat="1" ht="15">
      <c r="B4" s="138"/>
      <c r="C4" s="138"/>
      <c r="D4" s="138"/>
      <c r="E4" s="138"/>
    </row>
    <row r="5" spans="2:5" customFormat="1" ht="21" customHeight="1">
      <c r="B5" s="353" t="s">
        <v>1</v>
      </c>
      <c r="C5" s="353"/>
      <c r="D5" s="353"/>
      <c r="E5" s="353"/>
    </row>
    <row r="6" spans="2:5" customFormat="1" ht="14.25">
      <c r="B6" s="354" t="s">
        <v>252</v>
      </c>
      <c r="C6" s="354"/>
      <c r="D6" s="354"/>
      <c r="E6" s="354"/>
    </row>
    <row r="7" spans="2:5" customFormat="1" ht="14.25">
      <c r="B7" s="136"/>
      <c r="C7" s="136"/>
      <c r="D7" s="136"/>
      <c r="E7" s="136"/>
    </row>
    <row r="8" spans="2:5" customFormat="1" ht="13.5">
      <c r="B8" s="356" t="s">
        <v>18</v>
      </c>
      <c r="C8" s="358"/>
      <c r="D8" s="358"/>
      <c r="E8" s="358"/>
    </row>
    <row r="9" spans="2:5" customFormat="1" ht="16.5" thickBot="1">
      <c r="B9" s="355" t="s">
        <v>103</v>
      </c>
      <c r="C9" s="355"/>
      <c r="D9" s="355"/>
      <c r="E9" s="355"/>
    </row>
    <row r="10" spans="2:5" customFormat="1" ht="13.5" thickBot="1">
      <c r="B10" s="137"/>
      <c r="C10" s="73" t="s">
        <v>2</v>
      </c>
      <c r="D10" s="256" t="s">
        <v>255</v>
      </c>
      <c r="E10" s="223" t="s">
        <v>260</v>
      </c>
    </row>
    <row r="11" spans="2:5" customFormat="1">
      <c r="B11" s="87" t="s">
        <v>3</v>
      </c>
      <c r="C11" s="125" t="s">
        <v>109</v>
      </c>
      <c r="D11" s="270" t="s">
        <v>123</v>
      </c>
      <c r="E11" s="211" t="s">
        <v>123</v>
      </c>
    </row>
    <row r="12" spans="2:5" customFormat="1">
      <c r="B12" s="167" t="s">
        <v>4</v>
      </c>
      <c r="C12" s="168" t="s">
        <v>5</v>
      </c>
      <c r="D12" s="271"/>
      <c r="E12" s="216"/>
    </row>
    <row r="13" spans="2:5" customFormat="1">
      <c r="B13" s="167" t="s">
        <v>6</v>
      </c>
      <c r="C13" s="169" t="s">
        <v>7</v>
      </c>
      <c r="D13" s="272"/>
      <c r="E13" s="217"/>
    </row>
    <row r="14" spans="2:5" customFormat="1">
      <c r="B14" s="167" t="s">
        <v>8</v>
      </c>
      <c r="C14" s="169" t="s">
        <v>10</v>
      </c>
      <c r="D14" s="272"/>
      <c r="E14" s="217"/>
    </row>
    <row r="15" spans="2:5" customFormat="1">
      <c r="B15" s="167" t="s">
        <v>106</v>
      </c>
      <c r="C15" s="169" t="s">
        <v>11</v>
      </c>
      <c r="D15" s="272"/>
      <c r="E15" s="217"/>
    </row>
    <row r="16" spans="2:5" customFormat="1">
      <c r="B16" s="170" t="s">
        <v>107</v>
      </c>
      <c r="C16" s="171" t="s">
        <v>12</v>
      </c>
      <c r="D16" s="273"/>
      <c r="E16" s="218"/>
    </row>
    <row r="17" spans="2:6" customFormat="1">
      <c r="B17" s="9" t="s">
        <v>13</v>
      </c>
      <c r="C17" s="11" t="s">
        <v>65</v>
      </c>
      <c r="D17" s="274"/>
      <c r="E17" s="219"/>
    </row>
    <row r="18" spans="2:6" customFormat="1">
      <c r="B18" s="167" t="s">
        <v>4</v>
      </c>
      <c r="C18" s="168" t="s">
        <v>11</v>
      </c>
      <c r="D18" s="273"/>
      <c r="E18" s="218"/>
    </row>
    <row r="19" spans="2:6" customFormat="1" ht="15" customHeight="1">
      <c r="B19" s="167" t="s">
        <v>6</v>
      </c>
      <c r="C19" s="169" t="s">
        <v>108</v>
      </c>
      <c r="D19" s="272"/>
      <c r="E19" s="217"/>
    </row>
    <row r="20" spans="2:6" customFormat="1" ht="13.5" thickBot="1">
      <c r="B20" s="172" t="s">
        <v>8</v>
      </c>
      <c r="C20" s="173" t="s">
        <v>14</v>
      </c>
      <c r="D20" s="275"/>
      <c r="E20" s="212"/>
    </row>
    <row r="21" spans="2:6" customFormat="1" ht="13.5" thickBot="1">
      <c r="B21" s="362" t="s">
        <v>110</v>
      </c>
      <c r="C21" s="363"/>
      <c r="D21" s="276">
        <v>0</v>
      </c>
      <c r="E21" s="145" t="s">
        <v>123</v>
      </c>
      <c r="F21" s="74"/>
    </row>
    <row r="22" spans="2:6" customFormat="1">
      <c r="B22" s="3"/>
      <c r="C22" s="7"/>
      <c r="D22" s="8"/>
      <c r="E22" s="8"/>
    </row>
    <row r="23" spans="2:6" customFormat="1" ht="13.5">
      <c r="B23" s="356" t="s">
        <v>104</v>
      </c>
      <c r="C23" s="364"/>
      <c r="D23" s="364"/>
      <c r="E23" s="364"/>
    </row>
    <row r="24" spans="2:6" customFormat="1" ht="15.75" customHeight="1" thickBot="1">
      <c r="B24" s="355" t="s">
        <v>105</v>
      </c>
      <c r="C24" s="365"/>
      <c r="D24" s="365"/>
      <c r="E24" s="365"/>
    </row>
    <row r="25" spans="2:6" customFormat="1" ht="13.5" thickBot="1">
      <c r="B25" s="197"/>
      <c r="C25" s="174" t="s">
        <v>2</v>
      </c>
      <c r="D25" s="256" t="s">
        <v>262</v>
      </c>
      <c r="E25" s="223" t="s">
        <v>260</v>
      </c>
    </row>
    <row r="26" spans="2:6" customFormat="1">
      <c r="B26" s="92" t="s">
        <v>15</v>
      </c>
      <c r="C26" s="93" t="s">
        <v>16</v>
      </c>
      <c r="D26" s="284">
        <v>4344.21</v>
      </c>
      <c r="E26" s="206">
        <f>D21</f>
        <v>0</v>
      </c>
    </row>
    <row r="27" spans="2:6" customFormat="1">
      <c r="B27" s="9" t="s">
        <v>17</v>
      </c>
      <c r="C27" s="10" t="s">
        <v>111</v>
      </c>
      <c r="D27" s="285">
        <v>-2986.1</v>
      </c>
      <c r="E27" s="240" t="s">
        <v>123</v>
      </c>
      <c r="F27" s="70"/>
    </row>
    <row r="28" spans="2:6" customFormat="1">
      <c r="B28" s="9" t="s">
        <v>18</v>
      </c>
      <c r="C28" s="10" t="s">
        <v>19</v>
      </c>
      <c r="D28" s="285">
        <v>0</v>
      </c>
      <c r="E28" s="241"/>
      <c r="F28" s="70"/>
    </row>
    <row r="29" spans="2:6" customFormat="1">
      <c r="B29" s="175" t="s">
        <v>4</v>
      </c>
      <c r="C29" s="168" t="s">
        <v>20</v>
      </c>
      <c r="D29" s="286"/>
      <c r="E29" s="242"/>
      <c r="F29" s="70"/>
    </row>
    <row r="30" spans="2:6" customFormat="1">
      <c r="B30" s="175" t="s">
        <v>6</v>
      </c>
      <c r="C30" s="168" t="s">
        <v>21</v>
      </c>
      <c r="D30" s="286"/>
      <c r="E30" s="242"/>
      <c r="F30" s="70"/>
    </row>
    <row r="31" spans="2:6" customFormat="1">
      <c r="B31" s="175" t="s">
        <v>8</v>
      </c>
      <c r="C31" s="168" t="s">
        <v>22</v>
      </c>
      <c r="D31" s="286"/>
      <c r="E31" s="242"/>
      <c r="F31" s="70"/>
    </row>
    <row r="32" spans="2:6" customFormat="1">
      <c r="B32" s="89" t="s">
        <v>23</v>
      </c>
      <c r="C32" s="11" t="s">
        <v>24</v>
      </c>
      <c r="D32" s="285">
        <v>2986.1</v>
      </c>
      <c r="E32" s="241" t="s">
        <v>123</v>
      </c>
      <c r="F32" s="70"/>
    </row>
    <row r="33" spans="2:6" customFormat="1">
      <c r="B33" s="175" t="s">
        <v>4</v>
      </c>
      <c r="C33" s="168" t="s">
        <v>25</v>
      </c>
      <c r="D33" s="286"/>
      <c r="E33" s="242"/>
      <c r="F33" s="70"/>
    </row>
    <row r="34" spans="2:6" customFormat="1">
      <c r="B34" s="175" t="s">
        <v>6</v>
      </c>
      <c r="C34" s="168" t="s">
        <v>26</v>
      </c>
      <c r="D34" s="286"/>
      <c r="E34" s="242"/>
      <c r="F34" s="70"/>
    </row>
    <row r="35" spans="2:6" customFormat="1">
      <c r="B35" s="175" t="s">
        <v>8</v>
      </c>
      <c r="C35" s="168" t="s">
        <v>27</v>
      </c>
      <c r="D35" s="286">
        <v>1.87</v>
      </c>
      <c r="E35" s="242"/>
      <c r="F35" s="70"/>
    </row>
    <row r="36" spans="2:6" customFormat="1">
      <c r="B36" s="175" t="s">
        <v>9</v>
      </c>
      <c r="C36" s="168" t="s">
        <v>28</v>
      </c>
      <c r="D36" s="286"/>
      <c r="E36" s="242"/>
      <c r="F36" s="70"/>
    </row>
    <row r="37" spans="2:6" customFormat="1" ht="25.5">
      <c r="B37" s="175" t="s">
        <v>29</v>
      </c>
      <c r="C37" s="168" t="s">
        <v>30</v>
      </c>
      <c r="D37" s="286">
        <v>22.46</v>
      </c>
      <c r="E37" s="242"/>
      <c r="F37" s="70"/>
    </row>
    <row r="38" spans="2:6" customFormat="1">
      <c r="B38" s="175" t="s">
        <v>31</v>
      </c>
      <c r="C38" s="168" t="s">
        <v>32</v>
      </c>
      <c r="D38" s="286"/>
      <c r="E38" s="242"/>
      <c r="F38" s="70"/>
    </row>
    <row r="39" spans="2:6" customFormat="1">
      <c r="B39" s="176" t="s">
        <v>33</v>
      </c>
      <c r="C39" s="177" t="s">
        <v>34</v>
      </c>
      <c r="D39" s="287">
        <v>2961.77</v>
      </c>
      <c r="E39" s="243"/>
      <c r="F39" s="70"/>
    </row>
    <row r="40" spans="2:6" customFormat="1" ht="13.5" thickBot="1">
      <c r="B40" s="94" t="s">
        <v>35</v>
      </c>
      <c r="C40" s="95" t="s">
        <v>36</v>
      </c>
      <c r="D40" s="288">
        <v>-1358.11</v>
      </c>
      <c r="E40" s="245"/>
    </row>
    <row r="41" spans="2:6" customFormat="1" ht="13.5" thickBot="1">
      <c r="B41" s="96" t="s">
        <v>37</v>
      </c>
      <c r="C41" s="97" t="s">
        <v>38</v>
      </c>
      <c r="D41" s="289">
        <v>0</v>
      </c>
      <c r="E41" s="145" t="s">
        <v>123</v>
      </c>
      <c r="F41" s="74"/>
    </row>
    <row r="42" spans="2:6" customFormat="1">
      <c r="B42" s="90"/>
      <c r="C42" s="90"/>
      <c r="D42" s="91"/>
      <c r="E42" s="91"/>
      <c r="F42" s="74"/>
    </row>
    <row r="43" spans="2:6" customFormat="1" ht="13.5">
      <c r="B43" s="357" t="s">
        <v>60</v>
      </c>
      <c r="C43" s="366"/>
      <c r="D43" s="366"/>
      <c r="E43" s="366"/>
    </row>
    <row r="44" spans="2:6" customFormat="1" ht="18" customHeight="1" thickBot="1">
      <c r="B44" s="355" t="s">
        <v>121</v>
      </c>
      <c r="C44" s="367"/>
      <c r="D44" s="367"/>
      <c r="E44" s="367"/>
    </row>
    <row r="45" spans="2:6" customFormat="1" ht="13.5" thickBot="1">
      <c r="B45" s="197"/>
      <c r="C45" s="29" t="s">
        <v>39</v>
      </c>
      <c r="D45" s="256" t="s">
        <v>262</v>
      </c>
      <c r="E45" s="223" t="s">
        <v>260</v>
      </c>
    </row>
    <row r="46" spans="2:6" customFormat="1">
      <c r="B46" s="13" t="s">
        <v>18</v>
      </c>
      <c r="C46" s="30" t="s">
        <v>112</v>
      </c>
      <c r="D46" s="98"/>
      <c r="E46" s="28"/>
    </row>
    <row r="47" spans="2:6" customFormat="1">
      <c r="B47" s="178" t="s">
        <v>4</v>
      </c>
      <c r="C47" s="179" t="s">
        <v>40</v>
      </c>
      <c r="D47" s="299">
        <v>36.322800000000001</v>
      </c>
      <c r="E47" s="146"/>
    </row>
    <row r="48" spans="2:6" customFormat="1">
      <c r="B48" s="180" t="s">
        <v>6</v>
      </c>
      <c r="C48" s="181" t="s">
        <v>41</v>
      </c>
      <c r="D48" s="299"/>
      <c r="E48" s="146"/>
    </row>
    <row r="49" spans="2:5" customFormat="1">
      <c r="B49" s="117" t="s">
        <v>23</v>
      </c>
      <c r="C49" s="121" t="s">
        <v>113</v>
      </c>
      <c r="D49" s="302"/>
      <c r="E49" s="146"/>
    </row>
    <row r="50" spans="2:5" customFormat="1">
      <c r="B50" s="178" t="s">
        <v>4</v>
      </c>
      <c r="C50" s="179" t="s">
        <v>40</v>
      </c>
      <c r="D50" s="299">
        <v>119.6</v>
      </c>
      <c r="E50" s="146"/>
    </row>
    <row r="51" spans="2:5" customFormat="1">
      <c r="B51" s="178" t="s">
        <v>6</v>
      </c>
      <c r="C51" s="179" t="s">
        <v>114</v>
      </c>
      <c r="D51" s="299">
        <v>80.44</v>
      </c>
      <c r="E51" s="72"/>
    </row>
    <row r="52" spans="2:5" customFormat="1">
      <c r="B52" s="178" t="s">
        <v>8</v>
      </c>
      <c r="C52" s="179" t="s">
        <v>115</v>
      </c>
      <c r="D52" s="299">
        <v>122.53</v>
      </c>
      <c r="E52" s="72"/>
    </row>
    <row r="53" spans="2:5" customFormat="1" ht="13.5" customHeight="1" thickBot="1">
      <c r="B53" s="182" t="s">
        <v>9</v>
      </c>
      <c r="C53" s="183" t="s">
        <v>41</v>
      </c>
      <c r="D53" s="297"/>
      <c r="E53" s="246"/>
    </row>
    <row r="54" spans="2:5" customFormat="1">
      <c r="B54" s="106"/>
      <c r="C54" s="107"/>
      <c r="D54" s="108"/>
      <c r="E54" s="108"/>
    </row>
    <row r="55" spans="2:5" customFormat="1" ht="13.5">
      <c r="B55" s="357" t="s">
        <v>62</v>
      </c>
      <c r="C55" s="358"/>
      <c r="D55" s="358"/>
      <c r="E55" s="358"/>
    </row>
    <row r="56" spans="2:5" customFormat="1" ht="17.25" customHeight="1" thickBot="1">
      <c r="B56" s="355" t="s">
        <v>116</v>
      </c>
      <c r="C56" s="359"/>
      <c r="D56" s="359"/>
      <c r="E56" s="359"/>
    </row>
    <row r="57" spans="2:5" customFormat="1" ht="23.25" thickBot="1">
      <c r="B57" s="350" t="s">
        <v>42</v>
      </c>
      <c r="C57" s="351"/>
      <c r="D57" s="18" t="s">
        <v>122</v>
      </c>
      <c r="E57" s="19" t="s">
        <v>117</v>
      </c>
    </row>
    <row r="58" spans="2:5" customFormat="1">
      <c r="B58" s="20" t="s">
        <v>18</v>
      </c>
      <c r="C58" s="123" t="s">
        <v>43</v>
      </c>
      <c r="D58" s="124" t="str">
        <f>D64</f>
        <v>-</v>
      </c>
      <c r="E58" s="31">
        <v>0</v>
      </c>
    </row>
    <row r="59" spans="2:5" customFormat="1" ht="25.5">
      <c r="B59" s="120" t="s">
        <v>4</v>
      </c>
      <c r="C59" s="22" t="s">
        <v>44</v>
      </c>
      <c r="D59" s="77">
        <v>0</v>
      </c>
      <c r="E59" s="78">
        <v>0</v>
      </c>
    </row>
    <row r="60" spans="2:5" customFormat="1" ht="25.5">
      <c r="B60" s="99" t="s">
        <v>6</v>
      </c>
      <c r="C60" s="15" t="s">
        <v>45</v>
      </c>
      <c r="D60" s="75">
        <v>0</v>
      </c>
      <c r="E60" s="76">
        <v>0</v>
      </c>
    </row>
    <row r="61" spans="2:5" customFormat="1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 customFormat="1">
      <c r="B62" s="99" t="s">
        <v>9</v>
      </c>
      <c r="C62" s="15" t="s">
        <v>47</v>
      </c>
      <c r="D62" s="75">
        <v>0</v>
      </c>
      <c r="E62" s="76">
        <v>0</v>
      </c>
    </row>
    <row r="63" spans="2:5" customFormat="1">
      <c r="B63" s="99" t="s">
        <v>29</v>
      </c>
      <c r="C63" s="15" t="s">
        <v>48</v>
      </c>
      <c r="D63" s="75">
        <v>0</v>
      </c>
      <c r="E63" s="76">
        <v>0</v>
      </c>
    </row>
    <row r="64" spans="2:5" customFormat="1">
      <c r="B64" s="120" t="s">
        <v>31</v>
      </c>
      <c r="C64" s="22" t="s">
        <v>49</v>
      </c>
      <c r="D64" s="77" t="str">
        <f>E21</f>
        <v>-</v>
      </c>
      <c r="E64" s="78">
        <f>E58</f>
        <v>0</v>
      </c>
    </row>
    <row r="65" spans="2:5" customFormat="1">
      <c r="B65" s="120" t="s">
        <v>33</v>
      </c>
      <c r="C65" s="22" t="s">
        <v>118</v>
      </c>
      <c r="D65" s="77">
        <v>0</v>
      </c>
      <c r="E65" s="78">
        <v>0</v>
      </c>
    </row>
    <row r="66" spans="2:5" customFormat="1">
      <c r="B66" s="120" t="s">
        <v>50</v>
      </c>
      <c r="C66" s="22" t="s">
        <v>51</v>
      </c>
      <c r="D66" s="77">
        <v>0</v>
      </c>
      <c r="E66" s="78">
        <v>0</v>
      </c>
    </row>
    <row r="67" spans="2:5" customFormat="1">
      <c r="B67" s="99" t="s">
        <v>52</v>
      </c>
      <c r="C67" s="15" t="s">
        <v>53</v>
      </c>
      <c r="D67" s="75">
        <v>0</v>
      </c>
      <c r="E67" s="76">
        <v>0</v>
      </c>
    </row>
    <row r="68" spans="2:5" customFormat="1">
      <c r="B68" s="99" t="s">
        <v>54</v>
      </c>
      <c r="C68" s="15" t="s">
        <v>55</v>
      </c>
      <c r="D68" s="75">
        <v>0</v>
      </c>
      <c r="E68" s="76">
        <v>0</v>
      </c>
    </row>
    <row r="69" spans="2:5" customFormat="1">
      <c r="B69" s="99" t="s">
        <v>56</v>
      </c>
      <c r="C69" s="15" t="s">
        <v>57</v>
      </c>
      <c r="D69" s="213">
        <v>0</v>
      </c>
      <c r="E69" s="76">
        <v>0</v>
      </c>
    </row>
    <row r="70" spans="2:5" customFormat="1">
      <c r="B70" s="126" t="s">
        <v>58</v>
      </c>
      <c r="C70" s="110" t="s">
        <v>59</v>
      </c>
      <c r="D70" s="111">
        <v>0</v>
      </c>
      <c r="E70" s="112">
        <v>0</v>
      </c>
    </row>
    <row r="71" spans="2:5" customFormat="1">
      <c r="B71" s="127" t="s">
        <v>23</v>
      </c>
      <c r="C71" s="118" t="s">
        <v>61</v>
      </c>
      <c r="D71" s="119">
        <v>0</v>
      </c>
      <c r="E71" s="65">
        <v>0</v>
      </c>
    </row>
    <row r="72" spans="2:5" customFormat="1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 customFormat="1">
      <c r="B73" s="129" t="s">
        <v>62</v>
      </c>
      <c r="C73" s="24" t="s">
        <v>65</v>
      </c>
      <c r="D73" s="25">
        <v>0</v>
      </c>
      <c r="E73" s="26">
        <v>0</v>
      </c>
    </row>
    <row r="74" spans="2:5" customFormat="1">
      <c r="B74" s="127" t="s">
        <v>64</v>
      </c>
      <c r="C74" s="118" t="s">
        <v>66</v>
      </c>
      <c r="D74" s="119" t="str">
        <f>D58</f>
        <v>-</v>
      </c>
      <c r="E74" s="65">
        <f>E58+E72-E73</f>
        <v>0</v>
      </c>
    </row>
    <row r="75" spans="2:5" customFormat="1">
      <c r="B75" s="99" t="s">
        <v>4</v>
      </c>
      <c r="C75" s="15" t="s">
        <v>67</v>
      </c>
      <c r="D75" s="75" t="str">
        <f>D74</f>
        <v>-</v>
      </c>
      <c r="E75" s="76">
        <f>E74</f>
        <v>0</v>
      </c>
    </row>
    <row r="76" spans="2:5" customFormat="1">
      <c r="B76" s="99" t="s">
        <v>6</v>
      </c>
      <c r="C76" s="15" t="s">
        <v>119</v>
      </c>
      <c r="D76" s="75">
        <v>0</v>
      </c>
      <c r="E76" s="76">
        <v>0</v>
      </c>
    </row>
    <row r="77" spans="2:5" customFormat="1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 customFormat="1">
      <c r="B78" s="1"/>
      <c r="C78" s="1"/>
      <c r="D78" s="2"/>
      <c r="E78" s="2"/>
    </row>
    <row r="79" spans="2:5" customFormat="1">
      <c r="B79" s="1"/>
      <c r="C79" s="1"/>
      <c r="D79" s="2"/>
      <c r="E79" s="2"/>
    </row>
    <row r="80" spans="2:5" customFormat="1">
      <c r="B80" s="1"/>
      <c r="C80" s="1"/>
      <c r="D80" s="2"/>
      <c r="E80" s="2"/>
    </row>
    <row r="81" spans="2:5" customFormat="1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3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191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89681.67</v>
      </c>
      <c r="E11" s="211">
        <f>SUM(E12:E14)</f>
        <v>128218.84</v>
      </c>
    </row>
    <row r="12" spans="2:5">
      <c r="B12" s="167" t="s">
        <v>4</v>
      </c>
      <c r="C12" s="168" t="s">
        <v>5</v>
      </c>
      <c r="D12" s="271">
        <v>89681.67</v>
      </c>
      <c r="E12" s="216">
        <v>128218.84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89681.67</v>
      </c>
      <c r="E21" s="145">
        <f>E11-E17</f>
        <v>128218.84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64061.72</v>
      </c>
      <c r="E26" s="206">
        <f>D21</f>
        <v>89681.67</v>
      </c>
    </row>
    <row r="27" spans="2:6">
      <c r="B27" s="9" t="s">
        <v>17</v>
      </c>
      <c r="C27" s="10" t="s">
        <v>111</v>
      </c>
      <c r="D27" s="285">
        <v>-903.27999999999975</v>
      </c>
      <c r="E27" s="240">
        <v>35688.35</v>
      </c>
      <c r="F27" s="70"/>
    </row>
    <row r="28" spans="2:6">
      <c r="B28" s="9" t="s">
        <v>18</v>
      </c>
      <c r="C28" s="10" t="s">
        <v>19</v>
      </c>
      <c r="D28" s="285">
        <v>5698.83</v>
      </c>
      <c r="E28" s="241">
        <v>59115.7</v>
      </c>
      <c r="F28" s="70"/>
    </row>
    <row r="29" spans="2:6">
      <c r="B29" s="175" t="s">
        <v>4</v>
      </c>
      <c r="C29" s="168" t="s">
        <v>20</v>
      </c>
      <c r="D29" s="286">
        <v>5698.83</v>
      </c>
      <c r="E29" s="242">
        <v>8536.23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>
        <v>50579.47</v>
      </c>
      <c r="F31" s="70"/>
    </row>
    <row r="32" spans="2:6">
      <c r="B32" s="89" t="s">
        <v>23</v>
      </c>
      <c r="C32" s="11" t="s">
        <v>24</v>
      </c>
      <c r="D32" s="285">
        <v>6602.11</v>
      </c>
      <c r="E32" s="241">
        <v>23427.35</v>
      </c>
      <c r="F32" s="70"/>
    </row>
    <row r="33" spans="2:6">
      <c r="B33" s="175" t="s">
        <v>4</v>
      </c>
      <c r="C33" s="168" t="s">
        <v>25</v>
      </c>
      <c r="D33" s="286">
        <v>1371.79</v>
      </c>
      <c r="E33" s="242">
        <v>818.06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176.44</v>
      </c>
      <c r="E35" s="242">
        <v>171.55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370.15</v>
      </c>
      <c r="E37" s="242">
        <v>750.58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4683.7299999999996</v>
      </c>
      <c r="E39" s="243">
        <v>21687.16</v>
      </c>
      <c r="F39" s="70"/>
    </row>
    <row r="40" spans="2:6" ht="13.5" thickBot="1">
      <c r="B40" s="94" t="s">
        <v>35</v>
      </c>
      <c r="C40" s="95" t="s">
        <v>36</v>
      </c>
      <c r="D40" s="288">
        <v>-7707.18</v>
      </c>
      <c r="E40" s="245">
        <v>2848.82</v>
      </c>
    </row>
    <row r="41" spans="2:6" ht="13.5" thickBot="1">
      <c r="B41" s="96" t="s">
        <v>37</v>
      </c>
      <c r="C41" s="97" t="s">
        <v>38</v>
      </c>
      <c r="D41" s="289">
        <v>55451.26</v>
      </c>
      <c r="E41" s="145">
        <f>E26+E27+E40</f>
        <v>128218.84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8575.866</v>
      </c>
      <c r="E47" s="146">
        <v>10831.119999999999</v>
      </c>
    </row>
    <row r="48" spans="2:6">
      <c r="B48" s="180" t="s">
        <v>6</v>
      </c>
      <c r="C48" s="181" t="s">
        <v>41</v>
      </c>
      <c r="D48" s="299">
        <v>8557.2929999999997</v>
      </c>
      <c r="E48" s="146">
        <v>14620.165000000001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7.47</v>
      </c>
      <c r="E50" s="146">
        <v>8.2799999999999994</v>
      </c>
    </row>
    <row r="51" spans="2:5">
      <c r="B51" s="178" t="s">
        <v>6</v>
      </c>
      <c r="C51" s="179" t="s">
        <v>114</v>
      </c>
      <c r="D51" s="299">
        <v>5.25</v>
      </c>
      <c r="E51" s="72">
        <v>8.2799999999999994</v>
      </c>
    </row>
    <row r="52" spans="2:5">
      <c r="B52" s="178" t="s">
        <v>8</v>
      </c>
      <c r="C52" s="179" t="s">
        <v>115</v>
      </c>
      <c r="D52" s="299">
        <v>7.62</v>
      </c>
      <c r="E52" s="72">
        <v>9.2100000000000009</v>
      </c>
    </row>
    <row r="53" spans="2:5" ht="13.5" customHeight="1" thickBot="1">
      <c r="B53" s="182" t="s">
        <v>9</v>
      </c>
      <c r="C53" s="183" t="s">
        <v>41</v>
      </c>
      <c r="D53" s="297">
        <v>6.48</v>
      </c>
      <c r="E53" s="246">
        <v>8.77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128218.84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128218.84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128218.84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128218.84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4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192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22991.3</v>
      </c>
      <c r="E11" s="211">
        <f>SUM(E12:E14)</f>
        <v>23695.25</v>
      </c>
    </row>
    <row r="12" spans="2:5">
      <c r="B12" s="167" t="s">
        <v>4</v>
      </c>
      <c r="C12" s="168" t="s">
        <v>5</v>
      </c>
      <c r="D12" s="271">
        <v>22991.3</v>
      </c>
      <c r="E12" s="216">
        <v>23695.25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22991.3</v>
      </c>
      <c r="E21" s="145">
        <f>E11-E17</f>
        <v>23695.25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27799.95</v>
      </c>
      <c r="E26" s="206">
        <f>D21</f>
        <v>22991.3</v>
      </c>
    </row>
    <row r="27" spans="2:6">
      <c r="B27" s="9" t="s">
        <v>17</v>
      </c>
      <c r="C27" s="10" t="s">
        <v>111</v>
      </c>
      <c r="D27" s="285">
        <v>-305.36</v>
      </c>
      <c r="E27" s="240">
        <v>-230.88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305.36</v>
      </c>
      <c r="E32" s="241">
        <v>230.88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119.35</v>
      </c>
      <c r="E35" s="242">
        <v>84.84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186.01</v>
      </c>
      <c r="E37" s="242">
        <v>146.04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-2149.0100000000002</v>
      </c>
      <c r="E40" s="245">
        <v>934.83</v>
      </c>
    </row>
    <row r="41" spans="2:6" ht="13.5" thickBot="1">
      <c r="B41" s="96" t="s">
        <v>37</v>
      </c>
      <c r="C41" s="97" t="s">
        <v>38</v>
      </c>
      <c r="D41" s="289">
        <v>25345.58</v>
      </c>
      <c r="E41" s="145">
        <f>E26+E27+E40</f>
        <v>23695.25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2504.5</v>
      </c>
      <c r="E47" s="146">
        <v>2084.433</v>
      </c>
    </row>
    <row r="48" spans="2:6">
      <c r="B48" s="180" t="s">
        <v>6</v>
      </c>
      <c r="C48" s="181" t="s">
        <v>41</v>
      </c>
      <c r="D48" s="299">
        <v>2475.154</v>
      </c>
      <c r="E48" s="146">
        <v>2064.0459999999998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11.1</v>
      </c>
      <c r="E50" s="146">
        <v>11.03</v>
      </c>
    </row>
    <row r="51" spans="2:5">
      <c r="B51" s="178" t="s">
        <v>6</v>
      </c>
      <c r="C51" s="179" t="s">
        <v>114</v>
      </c>
      <c r="D51" s="299">
        <v>8.77</v>
      </c>
      <c r="E51" s="146">
        <v>10.86</v>
      </c>
    </row>
    <row r="52" spans="2:5">
      <c r="B52" s="178" t="s">
        <v>8</v>
      </c>
      <c r="C52" s="179" t="s">
        <v>115</v>
      </c>
      <c r="D52" s="299">
        <v>11.26</v>
      </c>
      <c r="E52" s="72">
        <v>11.64</v>
      </c>
    </row>
    <row r="53" spans="2:5" ht="12.75" customHeight="1" thickBot="1">
      <c r="B53" s="182" t="s">
        <v>9</v>
      </c>
      <c r="C53" s="183" t="s">
        <v>41</v>
      </c>
      <c r="D53" s="297">
        <v>10.24</v>
      </c>
      <c r="E53" s="246">
        <v>11.48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4.25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23695.25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3.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23695.25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23695.25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23695.25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5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193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2171235.04</v>
      </c>
      <c r="E11" s="211">
        <f>SUM(E12:E14)</f>
        <v>1821861.9</v>
      </c>
    </row>
    <row r="12" spans="2:5">
      <c r="B12" s="167" t="s">
        <v>4</v>
      </c>
      <c r="C12" s="168" t="s">
        <v>5</v>
      </c>
      <c r="D12" s="271">
        <v>2171235.04</v>
      </c>
      <c r="E12" s="216">
        <v>1821861.9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2171235.04</v>
      </c>
      <c r="E21" s="145">
        <f>E11-E17</f>
        <v>1821861.9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2193806.56</v>
      </c>
      <c r="E26" s="206">
        <f>D21</f>
        <v>2171235.04</v>
      </c>
    </row>
    <row r="27" spans="2:6">
      <c r="B27" s="9" t="s">
        <v>17</v>
      </c>
      <c r="C27" s="10" t="s">
        <v>111</v>
      </c>
      <c r="D27" s="285">
        <v>-74683.820000000007</v>
      </c>
      <c r="E27" s="240">
        <v>-358014.76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74683.819999999992</v>
      </c>
      <c r="E32" s="241">
        <v>358014.76</v>
      </c>
      <c r="F32" s="70"/>
    </row>
    <row r="33" spans="2:6">
      <c r="B33" s="175" t="s">
        <v>4</v>
      </c>
      <c r="C33" s="168" t="s">
        <v>25</v>
      </c>
      <c r="D33" s="286">
        <v>55844.6</v>
      </c>
      <c r="E33" s="242">
        <v>343073.79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1214.02</v>
      </c>
      <c r="E35" s="242">
        <v>158.47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17625.2</v>
      </c>
      <c r="E37" s="242">
        <v>14782.5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-55298.47</v>
      </c>
      <c r="E40" s="245">
        <v>8641.6200000000008</v>
      </c>
    </row>
    <row r="41" spans="2:6" ht="13.5" thickBot="1">
      <c r="B41" s="96" t="s">
        <v>37</v>
      </c>
      <c r="C41" s="97" t="s">
        <v>38</v>
      </c>
      <c r="D41" s="289">
        <v>2063824.2700000003</v>
      </c>
      <c r="E41" s="145">
        <f>E26+E27+E40</f>
        <v>1821861.9000000001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115039.673</v>
      </c>
      <c r="E47" s="146">
        <v>110047.39200000001</v>
      </c>
    </row>
    <row r="48" spans="2:6">
      <c r="B48" s="180" t="s">
        <v>6</v>
      </c>
      <c r="C48" s="181" t="s">
        <v>41</v>
      </c>
      <c r="D48" s="299">
        <v>110958.29399999999</v>
      </c>
      <c r="E48" s="146">
        <v>91874.024000000005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19.07</v>
      </c>
      <c r="E50" s="146">
        <v>19.73</v>
      </c>
    </row>
    <row r="51" spans="2:5">
      <c r="B51" s="178" t="s">
        <v>6</v>
      </c>
      <c r="C51" s="179" t="s">
        <v>114</v>
      </c>
      <c r="D51" s="299">
        <v>16.41</v>
      </c>
      <c r="E51" s="146">
        <v>19.48</v>
      </c>
    </row>
    <row r="52" spans="2:5">
      <c r="B52" s="178" t="s">
        <v>8</v>
      </c>
      <c r="C52" s="179" t="s">
        <v>115</v>
      </c>
      <c r="D52" s="299">
        <v>19.38</v>
      </c>
      <c r="E52" s="72">
        <v>19.87</v>
      </c>
    </row>
    <row r="53" spans="2:5" ht="12.75" customHeight="1" thickBot="1">
      <c r="B53" s="182" t="s">
        <v>9</v>
      </c>
      <c r="C53" s="183" t="s">
        <v>41</v>
      </c>
      <c r="D53" s="297">
        <v>18.600000000000001</v>
      </c>
      <c r="E53" s="246">
        <v>19.829999999999998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8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1821861.9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1821861.9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1821861.9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1821861.9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6">
    <pageSetUpPr fitToPage="1"/>
  </sheetPr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234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130712.71</v>
      </c>
      <c r="E11" s="211">
        <f>SUM(E12:E14)</f>
        <v>124325.01</v>
      </c>
    </row>
    <row r="12" spans="2:5">
      <c r="B12" s="167" t="s">
        <v>4</v>
      </c>
      <c r="C12" s="168" t="s">
        <v>5</v>
      </c>
      <c r="D12" s="271">
        <v>130712.71</v>
      </c>
      <c r="E12" s="216">
        <v>124325.01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130712.71</v>
      </c>
      <c r="E21" s="145">
        <f>E11-E17</f>
        <v>124325.01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173324.38</v>
      </c>
      <c r="E26" s="206">
        <f>D21</f>
        <v>130712.71</v>
      </c>
    </row>
    <row r="27" spans="2:6">
      <c r="B27" s="9" t="s">
        <v>17</v>
      </c>
      <c r="C27" s="10" t="s">
        <v>111</v>
      </c>
      <c r="D27" s="285">
        <v>-2039.66</v>
      </c>
      <c r="E27" s="240">
        <v>-6400.76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2039.66</v>
      </c>
      <c r="E32" s="241">
        <v>6400.76</v>
      </c>
      <c r="F32" s="70"/>
    </row>
    <row r="33" spans="2:6">
      <c r="B33" s="175" t="s">
        <v>4</v>
      </c>
      <c r="C33" s="168" t="s">
        <v>25</v>
      </c>
      <c r="D33" s="286"/>
      <c r="E33" s="242">
        <v>4710.95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837.02</v>
      </c>
      <c r="E35" s="242">
        <v>796.58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1202.6400000000001</v>
      </c>
      <c r="E37" s="242">
        <v>893.23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532.91</v>
      </c>
      <c r="E40" s="245">
        <v>13.06</v>
      </c>
    </row>
    <row r="41" spans="2:6" ht="13.5" thickBot="1">
      <c r="B41" s="96" t="s">
        <v>37</v>
      </c>
      <c r="C41" s="97" t="s">
        <v>38</v>
      </c>
      <c r="D41" s="289">
        <v>171817.63</v>
      </c>
      <c r="E41" s="145">
        <f>E26+E27+E40</f>
        <v>124325.01000000001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13572.778</v>
      </c>
      <c r="E47" s="146">
        <v>10070.316999999999</v>
      </c>
    </row>
    <row r="48" spans="2:6">
      <c r="B48" s="180" t="s">
        <v>6</v>
      </c>
      <c r="C48" s="181" t="s">
        <v>41</v>
      </c>
      <c r="D48" s="299">
        <v>13412.773999999999</v>
      </c>
      <c r="E48" s="146">
        <v>9578.1980000000003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12.77</v>
      </c>
      <c r="E50" s="146">
        <v>12.98</v>
      </c>
    </row>
    <row r="51" spans="2:5">
      <c r="B51" s="178" t="s">
        <v>6</v>
      </c>
      <c r="C51" s="179" t="s">
        <v>114</v>
      </c>
      <c r="D51" s="299">
        <v>12.64</v>
      </c>
      <c r="E51" s="146">
        <v>12.96</v>
      </c>
    </row>
    <row r="52" spans="2:5">
      <c r="B52" s="178" t="s">
        <v>8</v>
      </c>
      <c r="C52" s="179" t="s">
        <v>115</v>
      </c>
      <c r="D52" s="299">
        <v>12.82</v>
      </c>
      <c r="E52" s="72">
        <v>13.03</v>
      </c>
    </row>
    <row r="53" spans="2:5" ht="13.5" customHeight="1" thickBot="1">
      <c r="B53" s="182" t="s">
        <v>9</v>
      </c>
      <c r="C53" s="183" t="s">
        <v>41</v>
      </c>
      <c r="D53" s="297">
        <v>12.81</v>
      </c>
      <c r="E53" s="246">
        <v>12.98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7.2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124325.01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 ht="12.75" customHeight="1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124325.01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124325.01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124325.01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7"/>
  <dimension ref="A1:F81"/>
  <sheetViews>
    <sheetView topLeftCell="A16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194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844250.4</v>
      </c>
      <c r="E11" s="211">
        <f>SUM(E12:E14)</f>
        <v>901840.02</v>
      </c>
    </row>
    <row r="12" spans="2:5">
      <c r="B12" s="167" t="s">
        <v>4</v>
      </c>
      <c r="C12" s="168" t="s">
        <v>5</v>
      </c>
      <c r="D12" s="271">
        <v>844250.4</v>
      </c>
      <c r="E12" s="216">
        <v>901840.02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844250.4</v>
      </c>
      <c r="E21" s="145">
        <f>E11-E17</f>
        <v>901840.02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871158.36</v>
      </c>
      <c r="E26" s="206">
        <f>D21</f>
        <v>844250.4</v>
      </c>
    </row>
    <row r="27" spans="2:6">
      <c r="B27" s="9" t="s">
        <v>17</v>
      </c>
      <c r="C27" s="10" t="s">
        <v>111</v>
      </c>
      <c r="D27" s="285">
        <v>-6642.62</v>
      </c>
      <c r="E27" s="240">
        <v>-6934.08</v>
      </c>
      <c r="F27" s="70"/>
    </row>
    <row r="28" spans="2:6">
      <c r="B28" s="9" t="s">
        <v>18</v>
      </c>
      <c r="C28" s="10" t="s">
        <v>19</v>
      </c>
      <c r="D28" s="285">
        <v>0</v>
      </c>
      <c r="E28" s="241">
        <v>0</v>
      </c>
      <c r="F28" s="70"/>
    </row>
    <row r="29" spans="2:6">
      <c r="B29" s="175" t="s">
        <v>4</v>
      </c>
      <c r="C29" s="168" t="s">
        <v>20</v>
      </c>
      <c r="D29" s="286"/>
      <c r="E29" s="242"/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/>
      <c r="E31" s="242"/>
      <c r="F31" s="70"/>
    </row>
    <row r="32" spans="2:6">
      <c r="B32" s="89" t="s">
        <v>23</v>
      </c>
      <c r="C32" s="11" t="s">
        <v>24</v>
      </c>
      <c r="D32" s="285">
        <v>6642.62</v>
      </c>
      <c r="E32" s="241">
        <v>6934.08</v>
      </c>
      <c r="F32" s="70"/>
    </row>
    <row r="33" spans="2:6">
      <c r="B33" s="175" t="s">
        <v>4</v>
      </c>
      <c r="C33" s="168" t="s">
        <v>25</v>
      </c>
      <c r="D33" s="286"/>
      <c r="E33" s="242"/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321.08999999999997</v>
      </c>
      <c r="E35" s="242">
        <v>16.95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6321.53</v>
      </c>
      <c r="E37" s="242">
        <v>6917.13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/>
      <c r="E39" s="243"/>
      <c r="F39" s="70"/>
    </row>
    <row r="40" spans="2:6" ht="13.5" thickBot="1">
      <c r="B40" s="94" t="s">
        <v>35</v>
      </c>
      <c r="C40" s="95" t="s">
        <v>36</v>
      </c>
      <c r="D40" s="288">
        <v>-89021.52</v>
      </c>
      <c r="E40" s="245">
        <v>64523.7</v>
      </c>
    </row>
    <row r="41" spans="2:6" ht="13.5" thickBot="1">
      <c r="B41" s="96" t="s">
        <v>37</v>
      </c>
      <c r="C41" s="97" t="s">
        <v>38</v>
      </c>
      <c r="D41" s="289">
        <v>775494.22</v>
      </c>
      <c r="E41" s="145">
        <f>E26+E27+E40</f>
        <v>901840.02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70141.574999999997</v>
      </c>
      <c r="E47" s="146">
        <v>68974.706000000006</v>
      </c>
    </row>
    <row r="48" spans="2:6">
      <c r="B48" s="180" t="s">
        <v>6</v>
      </c>
      <c r="C48" s="181" t="s">
        <v>41</v>
      </c>
      <c r="D48" s="299">
        <v>69551.051000000007</v>
      </c>
      <c r="E48" s="146">
        <v>68424.888000000006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12.42</v>
      </c>
      <c r="E50" s="146">
        <v>12.24</v>
      </c>
    </row>
    <row r="51" spans="2:5">
      <c r="B51" s="178" t="s">
        <v>6</v>
      </c>
      <c r="C51" s="179" t="s">
        <v>114</v>
      </c>
      <c r="D51" s="299">
        <v>9.82</v>
      </c>
      <c r="E51" s="146">
        <v>12.09</v>
      </c>
    </row>
    <row r="52" spans="2:5">
      <c r="B52" s="178" t="s">
        <v>8</v>
      </c>
      <c r="C52" s="179" t="s">
        <v>115</v>
      </c>
      <c r="D52" s="299">
        <v>12.71</v>
      </c>
      <c r="E52" s="72">
        <v>13.21</v>
      </c>
    </row>
    <row r="53" spans="2:5" ht="13.5" customHeight="1" thickBot="1">
      <c r="B53" s="182" t="s">
        <v>9</v>
      </c>
      <c r="C53" s="183" t="s">
        <v>41</v>
      </c>
      <c r="D53" s="297">
        <v>11.15</v>
      </c>
      <c r="E53" s="246">
        <v>13.18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901840.02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901840.02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901840.02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901840.02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8"/>
  <dimension ref="A1:F81"/>
  <sheetViews>
    <sheetView topLeftCell="A13" zoomScale="80" zoomScaleNormal="80" workbookViewId="0">
      <selection activeCell="K10" sqref="K10"/>
    </sheetView>
  </sheetViews>
  <sheetFormatPr defaultRowHeight="12.75"/>
  <cols>
    <col min="1" max="1" width="9.140625" style="27"/>
    <col min="2" max="2" width="5.28515625" style="27" bestFit="1" customWidth="1"/>
    <col min="3" max="3" width="75.42578125" style="27" customWidth="1"/>
    <col min="4" max="5" width="17.85546875" style="81" customWidth="1"/>
    <col min="6" max="6" width="7.42578125" customWidth="1"/>
  </cols>
  <sheetData>
    <row r="1" spans="2:5">
      <c r="B1" s="1"/>
      <c r="C1" s="1"/>
      <c r="D1" s="2"/>
      <c r="E1" s="2"/>
    </row>
    <row r="2" spans="2:5" ht="15.75">
      <c r="B2" s="352" t="s">
        <v>0</v>
      </c>
      <c r="C2" s="352"/>
      <c r="D2" s="352"/>
      <c r="E2" s="352"/>
    </row>
    <row r="3" spans="2:5" ht="15.75">
      <c r="B3" s="352" t="s">
        <v>261</v>
      </c>
      <c r="C3" s="352"/>
      <c r="D3" s="352"/>
      <c r="E3" s="352"/>
    </row>
    <row r="4" spans="2:5" ht="15">
      <c r="B4" s="138"/>
      <c r="C4" s="138"/>
      <c r="D4" s="138"/>
      <c r="E4" s="138"/>
    </row>
    <row r="5" spans="2:5" ht="21" customHeight="1">
      <c r="B5" s="353" t="s">
        <v>1</v>
      </c>
      <c r="C5" s="353"/>
      <c r="D5" s="353"/>
      <c r="E5" s="353"/>
    </row>
    <row r="6" spans="2:5" ht="14.25">
      <c r="B6" s="354" t="s">
        <v>195</v>
      </c>
      <c r="C6" s="354"/>
      <c r="D6" s="354"/>
      <c r="E6" s="354"/>
    </row>
    <row r="7" spans="2:5" ht="14.25">
      <c r="B7" s="136"/>
      <c r="C7" s="136"/>
      <c r="D7" s="136"/>
      <c r="E7" s="136"/>
    </row>
    <row r="8" spans="2:5" ht="13.5">
      <c r="B8" s="356" t="s">
        <v>18</v>
      </c>
      <c r="C8" s="358"/>
      <c r="D8" s="358"/>
      <c r="E8" s="358"/>
    </row>
    <row r="9" spans="2:5" ht="16.5" thickBot="1">
      <c r="B9" s="355" t="s">
        <v>103</v>
      </c>
      <c r="C9" s="355"/>
      <c r="D9" s="355"/>
      <c r="E9" s="355"/>
    </row>
    <row r="10" spans="2:5" ht="13.5" thickBot="1">
      <c r="B10" s="137"/>
      <c r="C10" s="73" t="s">
        <v>2</v>
      </c>
      <c r="D10" s="256" t="s">
        <v>255</v>
      </c>
      <c r="E10" s="223" t="s">
        <v>260</v>
      </c>
    </row>
    <row r="11" spans="2:5">
      <c r="B11" s="87" t="s">
        <v>3</v>
      </c>
      <c r="C11" s="125" t="s">
        <v>109</v>
      </c>
      <c r="D11" s="270">
        <v>29139.59</v>
      </c>
      <c r="E11" s="211">
        <f>SUM(E12:E14)</f>
        <v>30824.69</v>
      </c>
    </row>
    <row r="12" spans="2:5">
      <c r="B12" s="167" t="s">
        <v>4</v>
      </c>
      <c r="C12" s="168" t="s">
        <v>5</v>
      </c>
      <c r="D12" s="271">
        <v>29139.59</v>
      </c>
      <c r="E12" s="216">
        <v>30824.69</v>
      </c>
    </row>
    <row r="13" spans="2:5">
      <c r="B13" s="167" t="s">
        <v>6</v>
      </c>
      <c r="C13" s="169" t="s">
        <v>7</v>
      </c>
      <c r="D13" s="272"/>
      <c r="E13" s="217"/>
    </row>
    <row r="14" spans="2:5">
      <c r="B14" s="167" t="s">
        <v>8</v>
      </c>
      <c r="C14" s="169" t="s">
        <v>10</v>
      </c>
      <c r="D14" s="272"/>
      <c r="E14" s="217"/>
    </row>
    <row r="15" spans="2:5">
      <c r="B15" s="167" t="s">
        <v>106</v>
      </c>
      <c r="C15" s="169" t="s">
        <v>11</v>
      </c>
      <c r="D15" s="272"/>
      <c r="E15" s="217"/>
    </row>
    <row r="16" spans="2:5">
      <c r="B16" s="170" t="s">
        <v>107</v>
      </c>
      <c r="C16" s="171" t="s">
        <v>12</v>
      </c>
      <c r="D16" s="273"/>
      <c r="E16" s="218"/>
    </row>
    <row r="17" spans="2:6">
      <c r="B17" s="9" t="s">
        <v>13</v>
      </c>
      <c r="C17" s="11" t="s">
        <v>65</v>
      </c>
      <c r="D17" s="274"/>
      <c r="E17" s="219"/>
    </row>
    <row r="18" spans="2:6">
      <c r="B18" s="167" t="s">
        <v>4</v>
      </c>
      <c r="C18" s="168" t="s">
        <v>11</v>
      </c>
      <c r="D18" s="273"/>
      <c r="E18" s="218"/>
    </row>
    <row r="19" spans="2:6" ht="15" customHeight="1">
      <c r="B19" s="167" t="s">
        <v>6</v>
      </c>
      <c r="C19" s="169" t="s">
        <v>108</v>
      </c>
      <c r="D19" s="272"/>
      <c r="E19" s="217"/>
    </row>
    <row r="20" spans="2:6" ht="13.5" thickBot="1">
      <c r="B20" s="172" t="s">
        <v>8</v>
      </c>
      <c r="C20" s="173" t="s">
        <v>14</v>
      </c>
      <c r="D20" s="275"/>
      <c r="E20" s="212"/>
    </row>
    <row r="21" spans="2:6" ht="13.5" thickBot="1">
      <c r="B21" s="362" t="s">
        <v>110</v>
      </c>
      <c r="C21" s="363"/>
      <c r="D21" s="276">
        <v>29139.59</v>
      </c>
      <c r="E21" s="145">
        <f>E11-E17</f>
        <v>30824.69</v>
      </c>
      <c r="F21" s="74"/>
    </row>
    <row r="22" spans="2:6">
      <c r="B22" s="3"/>
      <c r="C22" s="7"/>
      <c r="D22" s="8"/>
      <c r="E22" s="8"/>
    </row>
    <row r="23" spans="2:6" ht="13.5">
      <c r="B23" s="356" t="s">
        <v>104</v>
      </c>
      <c r="C23" s="364"/>
      <c r="D23" s="364"/>
      <c r="E23" s="364"/>
    </row>
    <row r="24" spans="2:6" ht="15.75" customHeight="1" thickBot="1">
      <c r="B24" s="355" t="s">
        <v>105</v>
      </c>
      <c r="C24" s="365"/>
      <c r="D24" s="365"/>
      <c r="E24" s="365"/>
    </row>
    <row r="25" spans="2:6" ht="13.5" thickBot="1">
      <c r="B25" s="197"/>
      <c r="C25" s="174" t="s">
        <v>2</v>
      </c>
      <c r="D25" s="256" t="s">
        <v>262</v>
      </c>
      <c r="E25" s="223" t="s">
        <v>260</v>
      </c>
    </row>
    <row r="26" spans="2:6">
      <c r="B26" s="92" t="s">
        <v>15</v>
      </c>
      <c r="C26" s="93" t="s">
        <v>16</v>
      </c>
      <c r="D26" s="284">
        <v>42568.53</v>
      </c>
      <c r="E26" s="206">
        <f>D21</f>
        <v>29139.59</v>
      </c>
    </row>
    <row r="27" spans="2:6">
      <c r="B27" s="9" t="s">
        <v>17</v>
      </c>
      <c r="C27" s="10" t="s">
        <v>111</v>
      </c>
      <c r="D27" s="285">
        <v>11407.939999999995</v>
      </c>
      <c r="E27" s="240">
        <v>-3946.77</v>
      </c>
      <c r="F27" s="70"/>
    </row>
    <row r="28" spans="2:6">
      <c r="B28" s="9" t="s">
        <v>18</v>
      </c>
      <c r="C28" s="10" t="s">
        <v>19</v>
      </c>
      <c r="D28" s="285">
        <v>59831.83</v>
      </c>
      <c r="E28" s="241">
        <v>9249.7800000000007</v>
      </c>
      <c r="F28" s="70"/>
    </row>
    <row r="29" spans="2:6">
      <c r="B29" s="175" t="s">
        <v>4</v>
      </c>
      <c r="C29" s="168" t="s">
        <v>20</v>
      </c>
      <c r="D29" s="286">
        <v>1880.46</v>
      </c>
      <c r="E29" s="242">
        <v>1444.97</v>
      </c>
      <c r="F29" s="70"/>
    </row>
    <row r="30" spans="2:6">
      <c r="B30" s="175" t="s">
        <v>6</v>
      </c>
      <c r="C30" s="168" t="s">
        <v>21</v>
      </c>
      <c r="D30" s="286"/>
      <c r="E30" s="242"/>
      <c r="F30" s="70"/>
    </row>
    <row r="31" spans="2:6">
      <c r="B31" s="175" t="s">
        <v>8</v>
      </c>
      <c r="C31" s="168" t="s">
        <v>22</v>
      </c>
      <c r="D31" s="286">
        <v>57951.37</v>
      </c>
      <c r="E31" s="242">
        <v>7804.81</v>
      </c>
      <c r="F31" s="70"/>
    </row>
    <row r="32" spans="2:6">
      <c r="B32" s="89" t="s">
        <v>23</v>
      </c>
      <c r="C32" s="11" t="s">
        <v>24</v>
      </c>
      <c r="D32" s="285">
        <v>48423.890000000007</v>
      </c>
      <c r="E32" s="241">
        <v>13196.55</v>
      </c>
      <c r="F32" s="70"/>
    </row>
    <row r="33" spans="2:6">
      <c r="B33" s="175" t="s">
        <v>4</v>
      </c>
      <c r="C33" s="168" t="s">
        <v>25</v>
      </c>
      <c r="D33" s="286">
        <v>192.14999999999998</v>
      </c>
      <c r="E33" s="242">
        <v>4888.9699999999993</v>
      </c>
      <c r="F33" s="70"/>
    </row>
    <row r="34" spans="2:6">
      <c r="B34" s="175" t="s">
        <v>6</v>
      </c>
      <c r="C34" s="168" t="s">
        <v>26</v>
      </c>
      <c r="D34" s="286"/>
      <c r="E34" s="242"/>
      <c r="F34" s="70"/>
    </row>
    <row r="35" spans="2:6">
      <c r="B35" s="175" t="s">
        <v>8</v>
      </c>
      <c r="C35" s="168" t="s">
        <v>27</v>
      </c>
      <c r="D35" s="286">
        <v>357.45</v>
      </c>
      <c r="E35" s="242">
        <v>177.32</v>
      </c>
      <c r="F35" s="70"/>
    </row>
    <row r="36" spans="2:6">
      <c r="B36" s="175" t="s">
        <v>9</v>
      </c>
      <c r="C36" s="168" t="s">
        <v>28</v>
      </c>
      <c r="D36" s="286"/>
      <c r="E36" s="242"/>
      <c r="F36" s="70"/>
    </row>
    <row r="37" spans="2:6" ht="25.5">
      <c r="B37" s="175" t="s">
        <v>29</v>
      </c>
      <c r="C37" s="168" t="s">
        <v>30</v>
      </c>
      <c r="D37" s="286">
        <v>473.88</v>
      </c>
      <c r="E37" s="242">
        <v>203.94</v>
      </c>
      <c r="F37" s="70"/>
    </row>
    <row r="38" spans="2:6">
      <c r="B38" s="175" t="s">
        <v>31</v>
      </c>
      <c r="C38" s="168" t="s">
        <v>32</v>
      </c>
      <c r="D38" s="286"/>
      <c r="E38" s="242"/>
      <c r="F38" s="70"/>
    </row>
    <row r="39" spans="2:6">
      <c r="B39" s="176" t="s">
        <v>33</v>
      </c>
      <c r="C39" s="177" t="s">
        <v>34</v>
      </c>
      <c r="D39" s="287">
        <v>47400.41</v>
      </c>
      <c r="E39" s="243">
        <v>7926.32</v>
      </c>
      <c r="F39" s="70"/>
    </row>
    <row r="40" spans="2:6" ht="13.5" thickBot="1">
      <c r="B40" s="94" t="s">
        <v>35</v>
      </c>
      <c r="C40" s="95" t="s">
        <v>36</v>
      </c>
      <c r="D40" s="288">
        <v>-18031.11</v>
      </c>
      <c r="E40" s="245">
        <v>5631.87</v>
      </c>
    </row>
    <row r="41" spans="2:6" ht="13.5" thickBot="1">
      <c r="B41" s="96" t="s">
        <v>37</v>
      </c>
      <c r="C41" s="97" t="s">
        <v>38</v>
      </c>
      <c r="D41" s="289">
        <v>35945.359999999993</v>
      </c>
      <c r="E41" s="145">
        <f>E26+E27+E40</f>
        <v>30824.69</v>
      </c>
      <c r="F41" s="74"/>
    </row>
    <row r="42" spans="2:6">
      <c r="B42" s="90"/>
      <c r="C42" s="90"/>
      <c r="D42" s="91"/>
      <c r="E42" s="91"/>
      <c r="F42" s="74"/>
    </row>
    <row r="43" spans="2:6" ht="13.5">
      <c r="B43" s="357" t="s">
        <v>60</v>
      </c>
      <c r="C43" s="366"/>
      <c r="D43" s="366"/>
      <c r="E43" s="366"/>
    </row>
    <row r="44" spans="2:6" ht="18" customHeight="1" thickBot="1">
      <c r="B44" s="355" t="s">
        <v>121</v>
      </c>
      <c r="C44" s="367"/>
      <c r="D44" s="367"/>
      <c r="E44" s="367"/>
    </row>
    <row r="45" spans="2:6" ht="13.5" thickBot="1">
      <c r="B45" s="197"/>
      <c r="C45" s="29" t="s">
        <v>39</v>
      </c>
      <c r="D45" s="69" t="s">
        <v>262</v>
      </c>
      <c r="E45" s="223" t="s">
        <v>260</v>
      </c>
    </row>
    <row r="46" spans="2:6">
      <c r="B46" s="13" t="s">
        <v>18</v>
      </c>
      <c r="C46" s="30" t="s">
        <v>112</v>
      </c>
      <c r="D46" s="98"/>
      <c r="E46" s="28"/>
    </row>
    <row r="47" spans="2:6">
      <c r="B47" s="178" t="s">
        <v>4</v>
      </c>
      <c r="C47" s="179" t="s">
        <v>40</v>
      </c>
      <c r="D47" s="299">
        <v>7561.0169999999998</v>
      </c>
      <c r="E47" s="146">
        <v>5386.2460000000001</v>
      </c>
    </row>
    <row r="48" spans="2:6">
      <c r="B48" s="180" t="s">
        <v>6</v>
      </c>
      <c r="C48" s="181" t="s">
        <v>41</v>
      </c>
      <c r="D48" s="299">
        <v>7780.3810000000003</v>
      </c>
      <c r="E48" s="146">
        <v>4801.3530000000001</v>
      </c>
    </row>
    <row r="49" spans="2:5">
      <c r="B49" s="117" t="s">
        <v>23</v>
      </c>
      <c r="C49" s="121" t="s">
        <v>113</v>
      </c>
      <c r="D49" s="302"/>
      <c r="E49" s="146"/>
    </row>
    <row r="50" spans="2:5">
      <c r="B50" s="178" t="s">
        <v>4</v>
      </c>
      <c r="C50" s="179" t="s">
        <v>40</v>
      </c>
      <c r="D50" s="299">
        <v>5.63</v>
      </c>
      <c r="E50" s="146">
        <v>5.41</v>
      </c>
    </row>
    <row r="51" spans="2:5">
      <c r="B51" s="178" t="s">
        <v>6</v>
      </c>
      <c r="C51" s="179" t="s">
        <v>114</v>
      </c>
      <c r="D51" s="299">
        <v>4.3</v>
      </c>
      <c r="E51" s="146">
        <v>5.41</v>
      </c>
    </row>
    <row r="52" spans="2:5">
      <c r="B52" s="178" t="s">
        <v>8</v>
      </c>
      <c r="C52" s="179" t="s">
        <v>115</v>
      </c>
      <c r="D52" s="299">
        <v>5.65</v>
      </c>
      <c r="E52" s="146">
        <v>6.5</v>
      </c>
    </row>
    <row r="53" spans="2:5" ht="13.5" customHeight="1" thickBot="1">
      <c r="B53" s="182" t="s">
        <v>9</v>
      </c>
      <c r="C53" s="183" t="s">
        <v>41</v>
      </c>
      <c r="D53" s="297">
        <v>4.62</v>
      </c>
      <c r="E53" s="246">
        <v>6.42</v>
      </c>
    </row>
    <row r="54" spans="2:5">
      <c r="B54" s="106"/>
      <c r="C54" s="107"/>
      <c r="D54" s="108"/>
      <c r="E54" s="108"/>
    </row>
    <row r="55" spans="2:5" ht="13.5">
      <c r="B55" s="357" t="s">
        <v>62</v>
      </c>
      <c r="C55" s="358"/>
      <c r="D55" s="358"/>
      <c r="E55" s="358"/>
    </row>
    <row r="56" spans="2:5" ht="16.5" customHeight="1" thickBot="1">
      <c r="B56" s="355" t="s">
        <v>116</v>
      </c>
      <c r="C56" s="359"/>
      <c r="D56" s="359"/>
      <c r="E56" s="359"/>
    </row>
    <row r="57" spans="2:5" ht="23.25" thickBot="1">
      <c r="B57" s="350" t="s">
        <v>42</v>
      </c>
      <c r="C57" s="351"/>
      <c r="D57" s="18" t="s">
        <v>122</v>
      </c>
      <c r="E57" s="19" t="s">
        <v>117</v>
      </c>
    </row>
    <row r="58" spans="2:5">
      <c r="B58" s="20" t="s">
        <v>18</v>
      </c>
      <c r="C58" s="123" t="s">
        <v>43</v>
      </c>
      <c r="D58" s="124">
        <f>D64</f>
        <v>30824.69</v>
      </c>
      <c r="E58" s="31">
        <f>D58/E21</f>
        <v>1</v>
      </c>
    </row>
    <row r="59" spans="2:5" ht="25.5">
      <c r="B59" s="120" t="s">
        <v>4</v>
      </c>
      <c r="C59" s="22" t="s">
        <v>44</v>
      </c>
      <c r="D59" s="77">
        <v>0</v>
      </c>
      <c r="E59" s="78">
        <v>0</v>
      </c>
    </row>
    <row r="60" spans="2:5" ht="25.5">
      <c r="B60" s="99" t="s">
        <v>6</v>
      </c>
      <c r="C60" s="15" t="s">
        <v>45</v>
      </c>
      <c r="D60" s="75">
        <v>0</v>
      </c>
      <c r="E60" s="76">
        <v>0</v>
      </c>
    </row>
    <row r="61" spans="2:5">
      <c r="B61" s="99" t="s">
        <v>8</v>
      </c>
      <c r="C61" s="15" t="s">
        <v>46</v>
      </c>
      <c r="D61" s="75">
        <v>0</v>
      </c>
      <c r="E61" s="76">
        <v>0</v>
      </c>
    </row>
    <row r="62" spans="2:5">
      <c r="B62" s="99" t="s">
        <v>9</v>
      </c>
      <c r="C62" s="15" t="s">
        <v>47</v>
      </c>
      <c r="D62" s="75">
        <v>0</v>
      </c>
      <c r="E62" s="76">
        <v>0</v>
      </c>
    </row>
    <row r="63" spans="2:5">
      <c r="B63" s="99" t="s">
        <v>29</v>
      </c>
      <c r="C63" s="15" t="s">
        <v>48</v>
      </c>
      <c r="D63" s="75">
        <v>0</v>
      </c>
      <c r="E63" s="76">
        <v>0</v>
      </c>
    </row>
    <row r="64" spans="2:5">
      <c r="B64" s="120" t="s">
        <v>31</v>
      </c>
      <c r="C64" s="22" t="s">
        <v>49</v>
      </c>
      <c r="D64" s="77">
        <f>E21</f>
        <v>30824.69</v>
      </c>
      <c r="E64" s="78">
        <f>E58</f>
        <v>1</v>
      </c>
    </row>
    <row r="65" spans="2:5">
      <c r="B65" s="120" t="s">
        <v>33</v>
      </c>
      <c r="C65" s="22" t="s">
        <v>118</v>
      </c>
      <c r="D65" s="77">
        <v>0</v>
      </c>
      <c r="E65" s="78">
        <v>0</v>
      </c>
    </row>
    <row r="66" spans="2:5">
      <c r="B66" s="120" t="s">
        <v>50</v>
      </c>
      <c r="C66" s="22" t="s">
        <v>51</v>
      </c>
      <c r="D66" s="77">
        <v>0</v>
      </c>
      <c r="E66" s="78">
        <v>0</v>
      </c>
    </row>
    <row r="67" spans="2:5">
      <c r="B67" s="99" t="s">
        <v>52</v>
      </c>
      <c r="C67" s="15" t="s">
        <v>53</v>
      </c>
      <c r="D67" s="75">
        <v>0</v>
      </c>
      <c r="E67" s="76">
        <v>0</v>
      </c>
    </row>
    <row r="68" spans="2:5">
      <c r="B68" s="99" t="s">
        <v>54</v>
      </c>
      <c r="C68" s="15" t="s">
        <v>55</v>
      </c>
      <c r="D68" s="75">
        <v>0</v>
      </c>
      <c r="E68" s="76">
        <v>0</v>
      </c>
    </row>
    <row r="69" spans="2:5">
      <c r="B69" s="99" t="s">
        <v>56</v>
      </c>
      <c r="C69" s="15" t="s">
        <v>57</v>
      </c>
      <c r="D69" s="213">
        <v>0</v>
      </c>
      <c r="E69" s="76">
        <v>0</v>
      </c>
    </row>
    <row r="70" spans="2:5">
      <c r="B70" s="126" t="s">
        <v>58</v>
      </c>
      <c r="C70" s="110" t="s">
        <v>59</v>
      </c>
      <c r="D70" s="111">
        <v>0</v>
      </c>
      <c r="E70" s="112">
        <v>0</v>
      </c>
    </row>
    <row r="71" spans="2:5">
      <c r="B71" s="127" t="s">
        <v>23</v>
      </c>
      <c r="C71" s="118" t="s">
        <v>61</v>
      </c>
      <c r="D71" s="119">
        <v>0</v>
      </c>
      <c r="E71" s="65">
        <v>0</v>
      </c>
    </row>
    <row r="72" spans="2:5">
      <c r="B72" s="128" t="s">
        <v>60</v>
      </c>
      <c r="C72" s="114" t="s">
        <v>63</v>
      </c>
      <c r="D72" s="115">
        <f>E14</f>
        <v>0</v>
      </c>
      <c r="E72" s="116">
        <v>0</v>
      </c>
    </row>
    <row r="73" spans="2:5">
      <c r="B73" s="129" t="s">
        <v>62</v>
      </c>
      <c r="C73" s="24" t="s">
        <v>65</v>
      </c>
      <c r="D73" s="25">
        <v>0</v>
      </c>
      <c r="E73" s="26">
        <v>0</v>
      </c>
    </row>
    <row r="74" spans="2:5">
      <c r="B74" s="127" t="s">
        <v>64</v>
      </c>
      <c r="C74" s="118" t="s">
        <v>66</v>
      </c>
      <c r="D74" s="119">
        <f>D58</f>
        <v>30824.69</v>
      </c>
      <c r="E74" s="65">
        <f>E58+E72-E73</f>
        <v>1</v>
      </c>
    </row>
    <row r="75" spans="2:5">
      <c r="B75" s="99" t="s">
        <v>4</v>
      </c>
      <c r="C75" s="15" t="s">
        <v>67</v>
      </c>
      <c r="D75" s="75">
        <f>D74</f>
        <v>30824.69</v>
      </c>
      <c r="E75" s="76">
        <f>E74</f>
        <v>1</v>
      </c>
    </row>
    <row r="76" spans="2:5">
      <c r="B76" s="99" t="s">
        <v>6</v>
      </c>
      <c r="C76" s="15" t="s">
        <v>119</v>
      </c>
      <c r="D76" s="75">
        <v>0</v>
      </c>
      <c r="E76" s="76">
        <v>0</v>
      </c>
    </row>
    <row r="77" spans="2:5" ht="13.5" thickBot="1">
      <c r="B77" s="100" t="s">
        <v>8</v>
      </c>
      <c r="C77" s="17" t="s">
        <v>120</v>
      </c>
      <c r="D77" s="79">
        <v>0</v>
      </c>
      <c r="E77" s="80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155</vt:i4>
      </vt:variant>
      <vt:variant>
        <vt:lpstr>Zakresy nazwane</vt:lpstr>
      </vt:variant>
      <vt:variant>
        <vt:i4>58</vt:i4>
      </vt:variant>
    </vt:vector>
  </HeadingPairs>
  <TitlesOfParts>
    <vt:vector size="213" baseType="lpstr">
      <vt:lpstr>Fundusz Gwarantowany</vt:lpstr>
      <vt:lpstr>Fundusz Stabilnego Wzrostu</vt:lpstr>
      <vt:lpstr>Fundusz Dynamiczny</vt:lpstr>
      <vt:lpstr>Fundusz Obligacji</vt:lpstr>
      <vt:lpstr>Fundusz Aktywnej Alokacji</vt:lpstr>
      <vt:lpstr>Fundusz Akcji Plus</vt:lpstr>
      <vt:lpstr>Fundusz Akcji Małych i ŚS</vt:lpstr>
      <vt:lpstr>Fundusz Pieniężny</vt:lpstr>
      <vt:lpstr>Fundusz Polskich Obl. Skarb.</vt:lpstr>
      <vt:lpstr>Fundusz Selektywny</vt:lpstr>
      <vt:lpstr>Fundusz Akcji Glob.</vt:lpstr>
      <vt:lpstr>Fundusz Obligacji Glob.</vt:lpstr>
      <vt:lpstr>Fundusz Energetyczny</vt:lpstr>
      <vt:lpstr>Portfel Aktywnej Alokacji</vt:lpstr>
      <vt:lpstr>Portfel Dynamiczny</vt:lpstr>
      <vt:lpstr>Portfel Stabilnego Wzrostu</vt:lpstr>
      <vt:lpstr>Portfel ARR</vt:lpstr>
      <vt:lpstr>Portfel ARW</vt:lpstr>
      <vt:lpstr>Portfel OZ</vt:lpstr>
      <vt:lpstr>Portfel OR</vt:lpstr>
      <vt:lpstr>Portfel SA</vt:lpstr>
      <vt:lpstr>Fundusz Konserwatywny</vt:lpstr>
      <vt:lpstr>Fundusz Zrównoważony</vt:lpstr>
      <vt:lpstr>Fundusz Aktywny</vt:lpstr>
      <vt:lpstr>Fundusz Międzynarodowy</vt:lpstr>
      <vt:lpstr>Fundusz Azjatycki</vt:lpstr>
      <vt:lpstr>Aktywny - Surowce i Nowe Gosp.</vt:lpstr>
      <vt:lpstr>Zabezpieczony - Dalekiego Wsch.</vt:lpstr>
      <vt:lpstr>Zaabezpieczony - Europy Wsch.</vt:lpstr>
      <vt:lpstr>Strategii Multiobligacyjnych</vt:lpstr>
      <vt:lpstr>Zabezpieczony - Rynku Polskiego</vt:lpstr>
      <vt:lpstr>Allianz Stabilnego Wzrostu</vt:lpstr>
      <vt:lpstr>Allianz Obligacji Plus</vt:lpstr>
      <vt:lpstr>Allianz Aktywnej Alokacji</vt:lpstr>
      <vt:lpstr>Allianz Akcji Małych i ŚS</vt:lpstr>
      <vt:lpstr>Allianz Konserw.</vt:lpstr>
      <vt:lpstr>Allianz Polskich Obl.Skarb.</vt:lpstr>
      <vt:lpstr>Allianz Selektywny</vt:lpstr>
      <vt:lpstr>Allianz Akcji Glob.</vt:lpstr>
      <vt:lpstr>Allianz ARZ</vt:lpstr>
      <vt:lpstr>Allianz Akcji Rynkow Wsch</vt:lpstr>
      <vt:lpstr>Allianz Dyn.Multistrategia</vt:lpstr>
      <vt:lpstr>Allianz Def.Multistrategia</vt:lpstr>
      <vt:lpstr>Allianz Zbal.Multistrategia</vt:lpstr>
      <vt:lpstr>Allianz GSD</vt:lpstr>
      <vt:lpstr>Aviva Dł.Pap.Korp.</vt:lpstr>
      <vt:lpstr>Franklin EDF</vt:lpstr>
      <vt:lpstr>Franklin GFS</vt:lpstr>
      <vt:lpstr>Franklin USO</vt:lpstr>
      <vt:lpstr>GS EMD</vt:lpstr>
      <vt:lpstr>GS GSMBP</vt:lpstr>
      <vt:lpstr>Inwestor Akcji</vt:lpstr>
      <vt:lpstr>Investor Akcji Sp.Dyw.</vt:lpstr>
      <vt:lpstr>Investor TOP 25 MS</vt:lpstr>
      <vt:lpstr>Investor Zrównoważony</vt:lpstr>
      <vt:lpstr>Investor Ameryka Quality</vt:lpstr>
      <vt:lpstr>Investor BRIC</vt:lpstr>
      <vt:lpstr>Investor Gold</vt:lpstr>
      <vt:lpstr>Investor Doch</vt:lpstr>
      <vt:lpstr>Investor Indie i Chiny</vt:lpstr>
      <vt:lpstr>Investor AK</vt:lpstr>
      <vt:lpstr>Investor Oszcz.</vt:lpstr>
      <vt:lpstr>Investor ZE</vt:lpstr>
      <vt:lpstr>JPM EMO</vt:lpstr>
      <vt:lpstr>JPM GH</vt:lpstr>
      <vt:lpstr>JPM GSB</vt:lpstr>
      <vt:lpstr>JPM GMO</vt:lpstr>
      <vt:lpstr>Esaliens Akcji</vt:lpstr>
      <vt:lpstr>Esaliens Obligacji</vt:lpstr>
      <vt:lpstr>Esaliens Kons</vt:lpstr>
      <vt:lpstr>Esaliens Strateg</vt:lpstr>
      <vt:lpstr>Millenium Master I</vt:lpstr>
      <vt:lpstr>Millenium Master II</vt:lpstr>
      <vt:lpstr>Millenium Master III</vt:lpstr>
      <vt:lpstr>Millenium Master IV</vt:lpstr>
      <vt:lpstr>Millenium Master V</vt:lpstr>
      <vt:lpstr>Millenium Master VI</vt:lpstr>
      <vt:lpstr>Millenium Master VII</vt:lpstr>
      <vt:lpstr>NN Akcji</vt:lpstr>
      <vt:lpstr>NN Obligacji</vt:lpstr>
      <vt:lpstr>NN OI</vt:lpstr>
      <vt:lpstr>NN ŚMS</vt:lpstr>
      <vt:lpstr>NN Eur.SD</vt:lpstr>
      <vt:lpstr>NN Glob. Długu Korp.</vt:lpstr>
      <vt:lpstr>NN Glob.SD</vt:lpstr>
      <vt:lpstr>NN J</vt:lpstr>
      <vt:lpstr>NN IS</vt:lpstr>
      <vt:lpstr>NN ORW</vt:lpstr>
      <vt:lpstr>NN Sp.Dyw.USA</vt:lpstr>
      <vt:lpstr>NN SGA</vt:lpstr>
      <vt:lpstr>NN SDRW</vt:lpstr>
      <vt:lpstr>Noble AMiŚS</vt:lpstr>
      <vt:lpstr>Noble AP</vt:lpstr>
      <vt:lpstr>Pekao ARW</vt:lpstr>
      <vt:lpstr>Pekao AGD</vt:lpstr>
      <vt:lpstr>Pekao OS</vt:lpstr>
      <vt:lpstr>Pekao Spokojna Inw</vt:lpstr>
      <vt:lpstr>Pekao WDRE</vt:lpstr>
      <vt:lpstr>Pekao Surowców i Energii</vt:lpstr>
      <vt:lpstr>Pekao AP</vt:lpstr>
      <vt:lpstr>Pekao DS</vt:lpstr>
      <vt:lpstr>Pekao OP</vt:lpstr>
      <vt:lpstr>Pekao Kons.</vt:lpstr>
      <vt:lpstr>Pekao Kons.+</vt:lpstr>
      <vt:lpstr>Pekao B15D</vt:lpstr>
      <vt:lpstr>Pekao DA2</vt:lpstr>
      <vt:lpstr>Pekao AS</vt:lpstr>
      <vt:lpstr>Pekao AE</vt:lpstr>
      <vt:lpstr>Pekao SG</vt:lpstr>
      <vt:lpstr>Pekao MIS</vt:lpstr>
      <vt:lpstr>Pekao OID</vt:lpstr>
      <vt:lpstr>PKO Akcji Nowa Europa</vt:lpstr>
      <vt:lpstr>PKO Obligacji Dług.</vt:lpstr>
      <vt:lpstr>PKO Stabilnego Wzrostu</vt:lpstr>
      <vt:lpstr>PKO Zrównoważony</vt:lpstr>
      <vt:lpstr>PZU ASD</vt:lpstr>
      <vt:lpstr>PZU AK</vt:lpstr>
      <vt:lpstr>PZU AMiŚS</vt:lpstr>
      <vt:lpstr>PZU M</vt:lpstr>
      <vt:lpstr>PZU Zrówn.</vt:lpstr>
      <vt:lpstr>PZU ARR</vt:lpstr>
      <vt:lpstr>PZU PDP</vt:lpstr>
      <vt:lpstr>Quercus A</vt:lpstr>
      <vt:lpstr>Quercus OK</vt:lpstr>
      <vt:lpstr>Quercus GB</vt:lpstr>
      <vt:lpstr>Schroder ISF ACB</vt:lpstr>
      <vt:lpstr>Schroder ISF AO</vt:lpstr>
      <vt:lpstr>Schroder ISF EMDAR</vt:lpstr>
      <vt:lpstr>Schroder ISF EE</vt:lpstr>
      <vt:lpstr>Schroder ISF FME</vt:lpstr>
      <vt:lpstr>Schroder ISF GDG</vt:lpstr>
      <vt:lpstr>Schroder ISF GCHI</vt:lpstr>
      <vt:lpstr>Skarbiec Kons.</vt:lpstr>
      <vt:lpstr>Skarbiec OWD</vt:lpstr>
      <vt:lpstr>Skarbiec MIŚS</vt:lpstr>
      <vt:lpstr>Skarbiec NG</vt:lpstr>
      <vt:lpstr>Skarbiec SW</vt:lpstr>
      <vt:lpstr>Skarbiec Brands</vt:lpstr>
      <vt:lpstr>Templeton GB</vt:lpstr>
      <vt:lpstr>Templeton GTR</vt:lpstr>
      <vt:lpstr>Templeton LA</vt:lpstr>
      <vt:lpstr>Generali AD</vt:lpstr>
      <vt:lpstr>Generali AMIŚS</vt:lpstr>
      <vt:lpstr>Generali ANE</vt:lpstr>
      <vt:lpstr>Generali UAWS</vt:lpstr>
      <vt:lpstr>Generali KA</vt:lpstr>
      <vt:lpstr>Generali KO</vt:lpstr>
      <vt:lpstr>Generali D</vt:lpstr>
      <vt:lpstr>Generali KZ</vt:lpstr>
      <vt:lpstr>Generali O</vt:lpstr>
      <vt:lpstr>Generali ONE</vt:lpstr>
      <vt:lpstr>Generali SW</vt:lpstr>
      <vt:lpstr>Generali OA</vt:lpstr>
      <vt:lpstr>Generali Z</vt:lpstr>
      <vt:lpstr>dodatkowedane</vt:lpstr>
      <vt:lpstr>'Aktywny - Surowce i Nowe Gosp.'!Obszar_wydruku</vt:lpstr>
      <vt:lpstr>'Allianz Obligacji Plus'!Obszar_wydruku</vt:lpstr>
      <vt:lpstr>'Aviva Dł.Pap.Korp.'!Obszar_wydruku</vt:lpstr>
      <vt:lpstr>'Franklin EDF'!Obszar_wydruku</vt:lpstr>
      <vt:lpstr>'Fundusz Akcji Glob.'!Obszar_wydruku</vt:lpstr>
      <vt:lpstr>'Fundusz Akcji Małych i ŚS'!Obszar_wydruku</vt:lpstr>
      <vt:lpstr>'Fundusz Akcji Plus'!Obszar_wydruku</vt:lpstr>
      <vt:lpstr>'Fundusz Aktywnej Alokacji'!Obszar_wydruku</vt:lpstr>
      <vt:lpstr>'Fundusz Aktywny'!Obszar_wydruku</vt:lpstr>
      <vt:lpstr>'Fundusz Azjatycki'!Obszar_wydruku</vt:lpstr>
      <vt:lpstr>'Fundusz Dynamiczny'!Obszar_wydruku</vt:lpstr>
      <vt:lpstr>'Fundusz Energetyczny'!Obszar_wydruku</vt:lpstr>
      <vt:lpstr>'Fundusz Gwarantowany'!Obszar_wydruku</vt:lpstr>
      <vt:lpstr>'Fundusz Konserwatywny'!Obszar_wydruku</vt:lpstr>
      <vt:lpstr>'Fundusz Międzynarodowy'!Obszar_wydruku</vt:lpstr>
      <vt:lpstr>'Fundusz Obligacji'!Obszar_wydruku</vt:lpstr>
      <vt:lpstr>'Fundusz Obligacji Glob.'!Obszar_wydruku</vt:lpstr>
      <vt:lpstr>'Fundusz Pieniężny'!Obszar_wydruku</vt:lpstr>
      <vt:lpstr>'Fundusz Polskich Obl. Skarb.'!Obszar_wydruku</vt:lpstr>
      <vt:lpstr>'Fundusz Selektywny'!Obszar_wydruku</vt:lpstr>
      <vt:lpstr>'Fundusz Zrównoważony'!Obszar_wydruku</vt:lpstr>
      <vt:lpstr>'Generali KO'!Obszar_wydruku</vt:lpstr>
      <vt:lpstr>'Generali ONE'!Obszar_wydruku</vt:lpstr>
      <vt:lpstr>'Investor Akcji Sp.Dyw.'!Obszar_wydruku</vt:lpstr>
      <vt:lpstr>'Investor Ameryka Quality'!Obszar_wydruku</vt:lpstr>
      <vt:lpstr>'Inwestor Akcji'!Obszar_wydruku</vt:lpstr>
      <vt:lpstr>'NN Eur.SD'!Obszar_wydruku</vt:lpstr>
      <vt:lpstr>'NN Glob. Długu Korp.'!Obszar_wydruku</vt:lpstr>
      <vt:lpstr>'NN Glob.SD'!Obszar_wydruku</vt:lpstr>
      <vt:lpstr>'Noble AP'!Obszar_wydruku</vt:lpstr>
      <vt:lpstr>'Pekao AGD'!Obszar_wydruku</vt:lpstr>
      <vt:lpstr>'Pekao B15D'!Obszar_wydruku</vt:lpstr>
      <vt:lpstr>'Pekao DA2'!Obszar_wydruku</vt:lpstr>
      <vt:lpstr>'Pekao DS'!Obszar_wydruku</vt:lpstr>
      <vt:lpstr>'Pekao Kons.'!Obszar_wydruku</vt:lpstr>
      <vt:lpstr>'Pekao Kons.+'!Obszar_wydruku</vt:lpstr>
      <vt:lpstr>'Pekao OP'!Obszar_wydruku</vt:lpstr>
      <vt:lpstr>'Pekao Spokojna Inw'!Obszar_wydruku</vt:lpstr>
      <vt:lpstr>'Portfel Aktywnej Alokacji'!Obszar_wydruku</vt:lpstr>
      <vt:lpstr>'Portfel ARR'!Obszar_wydruku</vt:lpstr>
      <vt:lpstr>'Portfel ARW'!Obszar_wydruku</vt:lpstr>
      <vt:lpstr>'Portfel Dynamiczny'!Obszar_wydruku</vt:lpstr>
      <vt:lpstr>'Portfel OZ'!Obszar_wydruku</vt:lpstr>
      <vt:lpstr>'Portfel Stabilnego Wzrostu'!Obszar_wydruku</vt:lpstr>
      <vt:lpstr>'PZU AMiŚS'!Obszar_wydruku</vt:lpstr>
      <vt:lpstr>'PZU ARR'!Obszar_wydruku</vt:lpstr>
      <vt:lpstr>'PZU M'!Obszar_wydruku</vt:lpstr>
      <vt:lpstr>'PZU Zrówn.'!Obszar_wydruku</vt:lpstr>
      <vt:lpstr>'Quercus A'!Obszar_wydruku</vt:lpstr>
      <vt:lpstr>'Schroder ISF FME'!Obszar_wydruku</vt:lpstr>
      <vt:lpstr>'Schroder ISF GCHI'!Obszar_wydruku</vt:lpstr>
      <vt:lpstr>'Schroder ISF GDG'!Obszar_wydruku</vt:lpstr>
      <vt:lpstr>'Skarbiec Kons.'!Obszar_wydruku</vt:lpstr>
      <vt:lpstr>'Skarbiec OWD'!Obszar_wydruku</vt:lpstr>
      <vt:lpstr>'Templeton GTR'!Obszar_wydruku</vt:lpstr>
      <vt:lpstr>'Templeton LA'!Obszar_wydruku</vt:lpstr>
      <vt:lpstr>'Zaabezpieczony - Europy Wsch.'!Obszar_wydruku</vt:lpstr>
      <vt:lpstr>'Zabezpieczony - Dalekiego Wsch.'!Obszar_wydruku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pprzeborowski</dc:creator>
  <cp:lastModifiedBy>Krasnodebska Izabela</cp:lastModifiedBy>
  <cp:lastPrinted>2015-02-02T16:54:01Z</cp:lastPrinted>
  <dcterms:created xsi:type="dcterms:W3CDTF">2012-07-31T14:09:53Z</dcterms:created>
  <dcterms:modified xsi:type="dcterms:W3CDTF">2021-08-06T11:41:33Z</dcterms:modified>
</cp:coreProperties>
</file>